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29"/>
  <workbookPr saveExternalLinkValues="0"/>
  <mc:AlternateContent xmlns:mc="http://schemas.openxmlformats.org/markup-compatibility/2006">
    <mc:Choice Requires="x15">
      <x15ac:absPath xmlns:x15ac="http://schemas.microsoft.com/office/spreadsheetml/2010/11/ac" url="C:\Users\i-40167\Desktop\05 ＨＰ資料（機能強化）\機能強化\"/>
    </mc:Choice>
  </mc:AlternateContent>
  <xr:revisionPtr revIDLastSave="0" documentId="13_ncr:1_{BCB5C3A1-9864-4288-A83F-EFC47E734451}" xr6:coauthVersionLast="45" xr6:coauthVersionMax="45" xr10:uidLastSave="{00000000-0000-0000-0000-000000000000}"/>
  <bookViews>
    <workbookView xWindow="-120" yWindow="-120" windowWidth="20730" windowHeight="11160" tabRatio="841" firstSheet="10" activeTab="10" xr2:uid="{00000000-000D-0000-FFFF-FFFF00000000}"/>
  </bookViews>
  <sheets>
    <sheet name="鏡" sheetId="22" state="hidden" r:id="rId1"/>
    <sheet name="汚水価格" sheetId="1" state="hidden" r:id="rId2"/>
    <sheet name="工事価格" sheetId="2" state="hidden" r:id="rId3"/>
    <sheet name="電_製作" sheetId="50" state="hidden" r:id="rId4"/>
    <sheet name="経費(電)Ｒ１" sheetId="63" state="hidden" r:id="rId5"/>
    <sheet name="経費(電)" sheetId="3" state="hidden" r:id="rId6"/>
    <sheet name="運搬" sheetId="20" state="hidden" r:id="rId7"/>
    <sheet name="直工 (矢田)" sheetId="68" state="hidden" r:id="rId8"/>
    <sheet name="電_技術者間接費 (矢田)" sheetId="69" state="hidden" r:id="rId9"/>
    <sheet name="電_スクラップ費 (矢田)" sheetId="70" state="hidden" r:id="rId10"/>
    <sheet name="直工 (外城田)" sheetId="74" r:id="rId11"/>
    <sheet name="電_技術者間接費 (外城田)" sheetId="75" r:id="rId12"/>
    <sheet name="電_スクラップ費 (外城田)" sheetId="76" r:id="rId13"/>
    <sheet name="電_引込" sheetId="52" state="hidden" r:id="rId14"/>
    <sheet name="電_動力・計装" sheetId="53" state="hidden" r:id="rId15"/>
    <sheet name="電_電話" sheetId="59" state="hidden" r:id="rId16"/>
    <sheet name="電_屋外" sheetId="56" state="hidden" r:id="rId17"/>
    <sheet name="電_電灯" sheetId="55" state="hidden" r:id="rId18"/>
    <sheet name="電_避雷" sheetId="62" state="hidden" r:id="rId19"/>
    <sheet name="電_土木" sheetId="61" state="hidden" r:id="rId20"/>
    <sheet name="電_建築" sheetId="58" state="hidden" r:id="rId21"/>
    <sheet name="明細表" sheetId="77" r:id="rId22"/>
  </sheets>
  <definedNames>
    <definedName name="_xlnm.Print_Area" localSheetId="6">運搬!$B$2:$J$70</definedName>
    <definedName name="_xlnm.Print_Area" localSheetId="1">汚水価格!$C$2:$K$70</definedName>
    <definedName name="_xlnm.Print_Area" localSheetId="0">鏡!$B$9:$L$54</definedName>
    <definedName name="_xlnm.Print_Area" localSheetId="5">'経費(電)'!$N$10:$V$72</definedName>
    <definedName name="_xlnm.Print_Area" localSheetId="4">'経費(電)Ｒ１'!$M$11:$V$73</definedName>
    <definedName name="_xlnm.Print_Area" localSheetId="2">工事価格!$C$3:$K$71,工事価格!$N$3:$V$71</definedName>
    <definedName name="_xlnm.Print_Area" localSheetId="10">'直工 (外城田)'!$A$1:$I$69</definedName>
    <definedName name="_xlnm.Print_Area" localSheetId="7">'直工 (矢田)'!$B$4:$J$72</definedName>
    <definedName name="_xlnm.Print_Area" localSheetId="12">'電_スクラップ費 (外城田)'!$A$1:$I$69</definedName>
    <definedName name="_xlnm.Print_Area" localSheetId="9">'電_スクラップ費 (矢田)'!$O$5:$W$73</definedName>
    <definedName name="_xlnm.Print_Area" localSheetId="13">電_引込!$C$5:$I$213,電_引込!$O$5:$W$213</definedName>
    <definedName name="_xlnm.Print_Area" localSheetId="16">電_屋外!$C$5:$I$73,電_屋外!$O$5:$W$73</definedName>
    <definedName name="_xlnm.Print_Area" localSheetId="11">'電_技術者間接費 (外城田)'!$A$1:$I$69</definedName>
    <definedName name="_xlnm.Print_Area" localSheetId="8">'電_技術者間接費 (矢田)'!$O$5:$W$73</definedName>
    <definedName name="_xlnm.Print_Area" localSheetId="20">電_建築!$C$5:$I$73,電_建築!$O$5:$W$73</definedName>
    <definedName name="_xlnm.Print_Area" localSheetId="3">電_製作!$C$5:$I$73,電_製作!$O$5:$W$73</definedName>
    <definedName name="_xlnm.Print_Area" localSheetId="17">電_電灯!$C$5:$I$143,電_電灯!$O$5:$W$143</definedName>
    <definedName name="_xlnm.Print_Area" localSheetId="15">電_電話!$C$5:$I$73,電_電話!$O$5:$W$73</definedName>
    <definedName name="_xlnm.Print_Area" localSheetId="19">電_土木!$C$5:$I$73,電_土木!$O$5:$W$73</definedName>
    <definedName name="_xlnm.Print_Area" localSheetId="14">電_動力・計装!$C$5:$I$143,電_動力・計装!$O$5:$W$143</definedName>
    <definedName name="_xlnm.Print_Area" localSheetId="18">電_避雷!$C$5:$I$73,電_避雷!$O$5:$W$73</definedName>
    <definedName name="一般費率" localSheetId="0">#REF!</definedName>
    <definedName name="一般費率" localSheetId="4">'経費(電)Ｒ１'!$B$55:$F$60</definedName>
    <definedName name="一般費率">'経費(電)'!$B$54:$F$59</definedName>
    <definedName name="機電費率" localSheetId="0">#REF!</definedName>
    <definedName name="機電費率" localSheetId="4">'経費(電)Ｒ１'!$B$46:$K$51</definedName>
    <definedName name="機電費率">'経費(電)'!$B$45:$K$50</definedName>
    <definedName name="共通補正" localSheetId="0">#REF!</definedName>
    <definedName name="共通補正" localSheetId="4">'経費(電)Ｒ１'!$E$63:$I$66</definedName>
    <definedName name="共通補正">'経費(電)'!$E$62:$I$65</definedName>
    <definedName name="現場補正" localSheetId="0">#REF!</definedName>
    <definedName name="現場補正" localSheetId="4">'経費(電)Ｒ１'!$E$69:$I$72</definedName>
    <definedName name="現場補正">'経費(電)'!$E$68:$I$71</definedName>
    <definedName name="土木費率" localSheetId="0">#REF!</definedName>
    <definedName name="土木費率" localSheetId="4">'経費(電)Ｒ１'!$B$37:$K$42</definedName>
    <definedName name="土木費率">'経費(電)'!$B$36:$K$41</definedName>
  </definedNames>
  <calcPr calcId="181029"/>
</workbook>
</file>

<file path=xl/calcChain.xml><?xml version="1.0" encoding="utf-8"?>
<calcChain xmlns="http://schemas.openxmlformats.org/spreadsheetml/2006/main">
  <c r="G72" i="77" l="1"/>
  <c r="I11" i="2" l="1"/>
  <c r="R131" i="63" l="1"/>
  <c r="S130" i="63"/>
  <c r="R130" i="63"/>
  <c r="S129" i="63"/>
  <c r="T129" i="63" s="1"/>
  <c r="R129" i="63"/>
  <c r="R128" i="63"/>
  <c r="R127" i="63"/>
  <c r="R122" i="63"/>
  <c r="T130" i="63" l="1"/>
  <c r="U129" i="63"/>
  <c r="V129" i="63" s="1"/>
  <c r="U130" i="63"/>
  <c r="V130" i="63" s="1"/>
  <c r="D28" i="2"/>
  <c r="D24" i="2"/>
  <c r="D20" i="2"/>
  <c r="D16" i="2"/>
  <c r="J6" i="68" l="1"/>
  <c r="W7" i="70" s="1"/>
  <c r="V5" i="2"/>
  <c r="W7" i="69" l="1"/>
  <c r="Y27" i="2"/>
  <c r="X61" i="63" l="1"/>
  <c r="X60" i="63"/>
  <c r="R133" i="63"/>
  <c r="R132" i="63"/>
  <c r="O56" i="63"/>
  <c r="O55" i="63"/>
  <c r="V22" i="63"/>
  <c r="Q21" i="63" l="1"/>
  <c r="V21" i="63" s="1"/>
  <c r="G8" i="75"/>
  <c r="Q20" i="63" l="1"/>
  <c r="G8" i="76"/>
  <c r="U38" i="63" l="1"/>
  <c r="C3" i="75"/>
  <c r="C3" i="76"/>
  <c r="U37" i="63" l="1"/>
  <c r="I19" i="2" l="1"/>
  <c r="I15" i="2"/>
  <c r="Q19" i="63"/>
  <c r="H16" i="68" l="1"/>
  <c r="H14" i="68"/>
  <c r="H12" i="68"/>
  <c r="S73" i="70" l="1"/>
  <c r="M73" i="70"/>
  <c r="L73" i="70"/>
  <c r="G73" i="70" s="1"/>
  <c r="M72" i="70"/>
  <c r="L72" i="70"/>
  <c r="S71" i="70"/>
  <c r="M71" i="70"/>
  <c r="L71" i="70"/>
  <c r="G71" i="70" s="1"/>
  <c r="M70" i="70"/>
  <c r="L70" i="70"/>
  <c r="S69" i="70"/>
  <c r="M69" i="70"/>
  <c r="L69" i="70"/>
  <c r="G69" i="70" s="1"/>
  <c r="M68" i="70"/>
  <c r="L68" i="70"/>
  <c r="S67" i="70"/>
  <c r="M67" i="70"/>
  <c r="L67" i="70"/>
  <c r="G67" i="70" s="1"/>
  <c r="M66" i="70"/>
  <c r="L66" i="70"/>
  <c r="S65" i="70"/>
  <c r="M65" i="70"/>
  <c r="L65" i="70"/>
  <c r="G65" i="70" s="1"/>
  <c r="M64" i="70"/>
  <c r="L64" i="70"/>
  <c r="S63" i="70"/>
  <c r="M63" i="70"/>
  <c r="L63" i="70"/>
  <c r="G63" i="70" s="1"/>
  <c r="M62" i="70"/>
  <c r="L62" i="70"/>
  <c r="S61" i="70"/>
  <c r="M61" i="70"/>
  <c r="L61" i="70"/>
  <c r="G61" i="70" s="1"/>
  <c r="M60" i="70"/>
  <c r="L60" i="70"/>
  <c r="S59" i="70"/>
  <c r="M59" i="70"/>
  <c r="L59" i="70"/>
  <c r="G59" i="70" s="1"/>
  <c r="M58" i="70"/>
  <c r="L58" i="70"/>
  <c r="S57" i="70"/>
  <c r="M57" i="70"/>
  <c r="L57" i="70"/>
  <c r="G57" i="70" s="1"/>
  <c r="M56" i="70"/>
  <c r="L56" i="70"/>
  <c r="S55" i="70"/>
  <c r="M55" i="70"/>
  <c r="L55" i="70"/>
  <c r="G55" i="70" s="1"/>
  <c r="M54" i="70"/>
  <c r="L54" i="70"/>
  <c r="S53" i="70"/>
  <c r="M53" i="70"/>
  <c r="L53" i="70"/>
  <c r="G53" i="70" s="1"/>
  <c r="M52" i="70"/>
  <c r="L52" i="70"/>
  <c r="S51" i="70"/>
  <c r="M51" i="70"/>
  <c r="L51" i="70"/>
  <c r="G51" i="70" s="1"/>
  <c r="M50" i="70"/>
  <c r="L50" i="70"/>
  <c r="M49" i="70"/>
  <c r="L49" i="70"/>
  <c r="G49" i="70" s="1"/>
  <c r="M48" i="70"/>
  <c r="L48" i="70"/>
  <c r="M47" i="70"/>
  <c r="L47" i="70"/>
  <c r="G47" i="70" s="1"/>
  <c r="M46" i="70"/>
  <c r="L46" i="70"/>
  <c r="M45" i="70"/>
  <c r="L45" i="70"/>
  <c r="G45" i="70" s="1"/>
  <c r="M44" i="70"/>
  <c r="L44" i="70"/>
  <c r="M43" i="70"/>
  <c r="L43" i="70"/>
  <c r="G43" i="70" s="1"/>
  <c r="M42" i="70"/>
  <c r="L42" i="70"/>
  <c r="S41" i="70"/>
  <c r="M41" i="70"/>
  <c r="L41" i="70"/>
  <c r="G41" i="70" s="1"/>
  <c r="M40" i="70"/>
  <c r="L40" i="70"/>
  <c r="S39" i="70"/>
  <c r="M39" i="70"/>
  <c r="L39" i="70"/>
  <c r="G39" i="70" s="1"/>
  <c r="M38" i="70"/>
  <c r="L38" i="70"/>
  <c r="S37" i="70"/>
  <c r="M37" i="70"/>
  <c r="L37" i="70"/>
  <c r="G37" i="70" s="1"/>
  <c r="M36" i="70"/>
  <c r="L36" i="70"/>
  <c r="S35" i="70"/>
  <c r="M35" i="70"/>
  <c r="L35" i="70"/>
  <c r="G35" i="70" s="1"/>
  <c r="M34" i="70"/>
  <c r="L34" i="70"/>
  <c r="S33" i="70"/>
  <c r="M33" i="70"/>
  <c r="L33" i="70"/>
  <c r="G33" i="70" s="1"/>
  <c r="M32" i="70"/>
  <c r="L32" i="70"/>
  <c r="AB31" i="70"/>
  <c r="Z31" i="70"/>
  <c r="Y31" i="70"/>
  <c r="M31" i="70"/>
  <c r="L31" i="70"/>
  <c r="G31" i="70" s="1"/>
  <c r="Q30" i="70"/>
  <c r="P30" i="70"/>
  <c r="M30" i="70"/>
  <c r="L30" i="70"/>
  <c r="Y29" i="70"/>
  <c r="S29" i="70"/>
  <c r="Q29" i="70"/>
  <c r="P29" i="70"/>
  <c r="M29" i="70"/>
  <c r="L29" i="70"/>
  <c r="G29" i="70" s="1"/>
  <c r="Q28" i="70"/>
  <c r="P28" i="70"/>
  <c r="M28" i="70"/>
  <c r="L28" i="70"/>
  <c r="AB27" i="70"/>
  <c r="Z27" i="70"/>
  <c r="Y27" i="70"/>
  <c r="S27" i="70"/>
  <c r="Q27" i="70"/>
  <c r="P27" i="70"/>
  <c r="M27" i="70"/>
  <c r="L27" i="70"/>
  <c r="G27" i="70" s="1"/>
  <c r="R27" i="70" s="1"/>
  <c r="Q26" i="70"/>
  <c r="P26" i="70"/>
  <c r="M26" i="70"/>
  <c r="L26" i="70"/>
  <c r="AB25" i="70"/>
  <c r="Z25" i="70"/>
  <c r="Y25" i="70"/>
  <c r="S25" i="70"/>
  <c r="Q25" i="70"/>
  <c r="P25" i="70"/>
  <c r="M25" i="70"/>
  <c r="L25" i="70"/>
  <c r="U25" i="70" s="1"/>
  <c r="Q24" i="70"/>
  <c r="P24" i="70"/>
  <c r="M24" i="70"/>
  <c r="L24" i="70"/>
  <c r="AB23" i="70"/>
  <c r="Z23" i="70"/>
  <c r="Y23" i="70"/>
  <c r="S23" i="70"/>
  <c r="Q23" i="70"/>
  <c r="P23" i="70"/>
  <c r="M23" i="70"/>
  <c r="L23" i="70"/>
  <c r="U23" i="70" s="1"/>
  <c r="Q22" i="70"/>
  <c r="P22" i="70"/>
  <c r="M22" i="70"/>
  <c r="L22" i="70"/>
  <c r="AB21" i="70"/>
  <c r="Z21" i="70"/>
  <c r="Y21" i="70"/>
  <c r="S21" i="70"/>
  <c r="Q21" i="70"/>
  <c r="P21" i="70"/>
  <c r="M21" i="70"/>
  <c r="L21" i="70"/>
  <c r="G21" i="70" s="1"/>
  <c r="R21" i="70" s="1"/>
  <c r="Q20" i="70"/>
  <c r="P20" i="70"/>
  <c r="M20" i="70"/>
  <c r="L20" i="70"/>
  <c r="AB19" i="70"/>
  <c r="Z19" i="70"/>
  <c r="Y19" i="70"/>
  <c r="S19" i="70"/>
  <c r="Q19" i="70"/>
  <c r="P19" i="70"/>
  <c r="M19" i="70"/>
  <c r="L19" i="70"/>
  <c r="G19" i="70" s="1"/>
  <c r="R19" i="70" s="1"/>
  <c r="Q18" i="70"/>
  <c r="P18" i="70"/>
  <c r="M18" i="70"/>
  <c r="L18" i="70"/>
  <c r="AB17" i="70"/>
  <c r="Z17" i="70"/>
  <c r="Y17" i="70"/>
  <c r="S17" i="70"/>
  <c r="Q17" i="70"/>
  <c r="P17" i="70"/>
  <c r="M17" i="70"/>
  <c r="L17" i="70"/>
  <c r="U17" i="70" s="1"/>
  <c r="Q16" i="70"/>
  <c r="P16" i="70"/>
  <c r="M16" i="70"/>
  <c r="L16" i="70"/>
  <c r="AB15" i="70"/>
  <c r="Z15" i="70"/>
  <c r="Y15" i="70"/>
  <c r="M15" i="70"/>
  <c r="L15" i="70"/>
  <c r="M14" i="70"/>
  <c r="L14" i="70"/>
  <c r="S13" i="70"/>
  <c r="M13" i="70"/>
  <c r="L13" i="70"/>
  <c r="G13" i="70" s="1"/>
  <c r="R13" i="70" s="1"/>
  <c r="Q12" i="70"/>
  <c r="P12" i="70"/>
  <c r="M12" i="70"/>
  <c r="L12" i="70"/>
  <c r="AC8" i="70"/>
  <c r="AB8" i="70"/>
  <c r="W8" i="70"/>
  <c r="A8" i="70"/>
  <c r="AC7" i="70"/>
  <c r="AC6" i="70"/>
  <c r="S73" i="69"/>
  <c r="M73" i="69"/>
  <c r="L73" i="69"/>
  <c r="G73" i="69" s="1"/>
  <c r="M72" i="69"/>
  <c r="L72" i="69"/>
  <c r="S71" i="69"/>
  <c r="M71" i="69"/>
  <c r="L71" i="69"/>
  <c r="G71" i="69" s="1"/>
  <c r="M70" i="69"/>
  <c r="L70" i="69"/>
  <c r="S69" i="69"/>
  <c r="M69" i="69"/>
  <c r="L69" i="69"/>
  <c r="G69" i="69" s="1"/>
  <c r="M68" i="69"/>
  <c r="L68" i="69"/>
  <c r="S67" i="69"/>
  <c r="M67" i="69"/>
  <c r="L67" i="69"/>
  <c r="G67" i="69" s="1"/>
  <c r="M66" i="69"/>
  <c r="L66" i="69"/>
  <c r="S65" i="69"/>
  <c r="M65" i="69"/>
  <c r="L65" i="69"/>
  <c r="G65" i="69" s="1"/>
  <c r="M64" i="69"/>
  <c r="L64" i="69"/>
  <c r="S63" i="69"/>
  <c r="M63" i="69"/>
  <c r="L63" i="69"/>
  <c r="G63" i="69" s="1"/>
  <c r="M62" i="69"/>
  <c r="L62" i="69"/>
  <c r="S61" i="69"/>
  <c r="M61" i="69"/>
  <c r="L61" i="69"/>
  <c r="G61" i="69" s="1"/>
  <c r="M60" i="69"/>
  <c r="L60" i="69"/>
  <c r="S59" i="69"/>
  <c r="M59" i="69"/>
  <c r="L59" i="69"/>
  <c r="G59" i="69" s="1"/>
  <c r="M58" i="69"/>
  <c r="L58" i="69"/>
  <c r="S57" i="69"/>
  <c r="M57" i="69"/>
  <c r="L57" i="69"/>
  <c r="G57" i="69" s="1"/>
  <c r="M56" i="69"/>
  <c r="L56" i="69"/>
  <c r="S55" i="69"/>
  <c r="M55" i="69"/>
  <c r="L55" i="69"/>
  <c r="G55" i="69" s="1"/>
  <c r="M54" i="69"/>
  <c r="L54" i="69"/>
  <c r="S53" i="69"/>
  <c r="M53" i="69"/>
  <c r="L53" i="69"/>
  <c r="G53" i="69" s="1"/>
  <c r="M52" i="69"/>
  <c r="L52" i="69"/>
  <c r="S51" i="69"/>
  <c r="M51" i="69"/>
  <c r="L51" i="69"/>
  <c r="G51" i="69" s="1"/>
  <c r="M50" i="69"/>
  <c r="L50" i="69"/>
  <c r="M49" i="69"/>
  <c r="L49" i="69"/>
  <c r="G49" i="69" s="1"/>
  <c r="M48" i="69"/>
  <c r="L48" i="69"/>
  <c r="M47" i="69"/>
  <c r="L47" i="69"/>
  <c r="G47" i="69" s="1"/>
  <c r="M46" i="69"/>
  <c r="L46" i="69"/>
  <c r="M45" i="69"/>
  <c r="L45" i="69"/>
  <c r="G45" i="69" s="1"/>
  <c r="M44" i="69"/>
  <c r="L44" i="69"/>
  <c r="M43" i="69"/>
  <c r="L43" i="69"/>
  <c r="G43" i="69" s="1"/>
  <c r="M42" i="69"/>
  <c r="L42" i="69"/>
  <c r="S41" i="69"/>
  <c r="M41" i="69"/>
  <c r="L41" i="69"/>
  <c r="G41" i="69" s="1"/>
  <c r="M40" i="69"/>
  <c r="L40" i="69"/>
  <c r="S39" i="69"/>
  <c r="M39" i="69"/>
  <c r="L39" i="69"/>
  <c r="G39" i="69" s="1"/>
  <c r="M38" i="69"/>
  <c r="L38" i="69"/>
  <c r="S37" i="69"/>
  <c r="M37" i="69"/>
  <c r="L37" i="69"/>
  <c r="G37" i="69" s="1"/>
  <c r="M36" i="69"/>
  <c r="L36" i="69"/>
  <c r="S35" i="69"/>
  <c r="M35" i="69"/>
  <c r="L35" i="69"/>
  <c r="G35" i="69" s="1"/>
  <c r="M34" i="69"/>
  <c r="L34" i="69"/>
  <c r="S33" i="69"/>
  <c r="M33" i="69"/>
  <c r="L33" i="69"/>
  <c r="G33" i="69" s="1"/>
  <c r="M32" i="69"/>
  <c r="L32" i="69"/>
  <c r="AB31" i="69"/>
  <c r="Z31" i="69"/>
  <c r="Y31" i="69"/>
  <c r="M31" i="69"/>
  <c r="L31" i="69"/>
  <c r="G31" i="69" s="1"/>
  <c r="Q30" i="69"/>
  <c r="P30" i="69"/>
  <c r="M30" i="69"/>
  <c r="L30" i="69"/>
  <c r="Y29" i="69"/>
  <c r="S29" i="69"/>
  <c r="Q29" i="69"/>
  <c r="P29" i="69"/>
  <c r="M29" i="69"/>
  <c r="L29" i="69"/>
  <c r="G29" i="69" s="1"/>
  <c r="Q28" i="69"/>
  <c r="P28" i="69"/>
  <c r="M28" i="69"/>
  <c r="L28" i="69"/>
  <c r="AB27" i="69"/>
  <c r="Z27" i="69"/>
  <c r="Y27" i="69"/>
  <c r="S27" i="69"/>
  <c r="Q27" i="69"/>
  <c r="P27" i="69"/>
  <c r="M27" i="69"/>
  <c r="L27" i="69"/>
  <c r="G27" i="69" s="1"/>
  <c r="R27" i="69" s="1"/>
  <c r="Q26" i="69"/>
  <c r="P26" i="69"/>
  <c r="M26" i="69"/>
  <c r="L26" i="69"/>
  <c r="AB25" i="69"/>
  <c r="Z25" i="69"/>
  <c r="Y25" i="69"/>
  <c r="S25" i="69"/>
  <c r="Q25" i="69"/>
  <c r="P25" i="69"/>
  <c r="M25" i="69"/>
  <c r="L25" i="69"/>
  <c r="U25" i="69" s="1"/>
  <c r="Q24" i="69"/>
  <c r="P24" i="69"/>
  <c r="M24" i="69"/>
  <c r="L24" i="69"/>
  <c r="AB23" i="69"/>
  <c r="Z23" i="69"/>
  <c r="Y23" i="69"/>
  <c r="S23" i="69"/>
  <c r="Q23" i="69"/>
  <c r="P23" i="69"/>
  <c r="M23" i="69"/>
  <c r="L23" i="69"/>
  <c r="G23" i="69" s="1"/>
  <c r="R23" i="69" s="1"/>
  <c r="Q22" i="69"/>
  <c r="P22" i="69"/>
  <c r="M22" i="69"/>
  <c r="L22" i="69"/>
  <c r="AB21" i="69"/>
  <c r="Z21" i="69"/>
  <c r="Y21" i="69"/>
  <c r="S21" i="69"/>
  <c r="Q21" i="69"/>
  <c r="P21" i="69"/>
  <c r="M21" i="69"/>
  <c r="L21" i="69"/>
  <c r="U21" i="69" s="1"/>
  <c r="Q20" i="69"/>
  <c r="P20" i="69"/>
  <c r="M20" i="69"/>
  <c r="L20" i="69"/>
  <c r="AB19" i="69"/>
  <c r="Z19" i="69"/>
  <c r="Y19" i="69"/>
  <c r="S19" i="69"/>
  <c r="Q19" i="69"/>
  <c r="P19" i="69"/>
  <c r="M19" i="69"/>
  <c r="L19" i="69"/>
  <c r="U19" i="69" s="1"/>
  <c r="Q18" i="69"/>
  <c r="P18" i="69"/>
  <c r="M18" i="69"/>
  <c r="L18" i="69"/>
  <c r="AB17" i="69"/>
  <c r="Z17" i="69"/>
  <c r="Y17" i="69"/>
  <c r="S17" i="69"/>
  <c r="Q17" i="69"/>
  <c r="P17" i="69"/>
  <c r="M17" i="69"/>
  <c r="L17" i="69"/>
  <c r="G17" i="69" s="1"/>
  <c r="R17" i="69" s="1"/>
  <c r="Q16" i="69"/>
  <c r="P16" i="69"/>
  <c r="M16" i="69"/>
  <c r="L16" i="69"/>
  <c r="AB15" i="69"/>
  <c r="Z15" i="69"/>
  <c r="Y15" i="69"/>
  <c r="M15" i="69"/>
  <c r="L15" i="69"/>
  <c r="M14" i="69"/>
  <c r="L14" i="69"/>
  <c r="Y13" i="69"/>
  <c r="S13" i="69"/>
  <c r="Q13" i="69"/>
  <c r="P13" i="69"/>
  <c r="M13" i="69"/>
  <c r="L13" i="69"/>
  <c r="Q12" i="69"/>
  <c r="P12" i="69"/>
  <c r="M12" i="69"/>
  <c r="L12" i="69"/>
  <c r="AC8" i="69"/>
  <c r="AB8" i="69"/>
  <c r="W8" i="69"/>
  <c r="A8" i="69"/>
  <c r="AC7" i="69"/>
  <c r="AC6" i="69"/>
  <c r="H36" i="68"/>
  <c r="M36" i="68" s="1"/>
  <c r="M38" i="68" s="1"/>
  <c r="H38" i="68" s="1"/>
  <c r="D7" i="68" s="1"/>
  <c r="Q18" i="63" s="1"/>
  <c r="L30" i="68"/>
  <c r="L28" i="68"/>
  <c r="L26" i="68"/>
  <c r="L24" i="68"/>
  <c r="L22" i="68"/>
  <c r="L20" i="68"/>
  <c r="L18" i="68"/>
  <c r="L16" i="68"/>
  <c r="L14" i="68"/>
  <c r="L12" i="68"/>
  <c r="B8" i="70"/>
  <c r="B8" i="69"/>
  <c r="G40" i="69" l="1"/>
  <c r="G56" i="69"/>
  <c r="G64" i="69"/>
  <c r="G22" i="69"/>
  <c r="R22" i="69" s="1"/>
  <c r="G12" i="70"/>
  <c r="R12" i="70" s="1"/>
  <c r="G30" i="70"/>
  <c r="G46" i="70"/>
  <c r="G66" i="70"/>
  <c r="G42" i="70"/>
  <c r="G58" i="70"/>
  <c r="G12" i="69"/>
  <c r="R12" i="69" s="1"/>
  <c r="G15" i="69"/>
  <c r="G32" i="69"/>
  <c r="G72" i="69"/>
  <c r="G18" i="70"/>
  <c r="R18" i="70" s="1"/>
  <c r="G26" i="70"/>
  <c r="R26" i="70" s="1"/>
  <c r="G34" i="70"/>
  <c r="G50" i="70"/>
  <c r="G66" i="69"/>
  <c r="G68" i="70"/>
  <c r="U17" i="69"/>
  <c r="AA17" i="69" s="1"/>
  <c r="U16" i="69" s="1"/>
  <c r="G19" i="69"/>
  <c r="R19" i="69" s="1"/>
  <c r="AA25" i="69"/>
  <c r="U24" i="69" s="1"/>
  <c r="G25" i="69"/>
  <c r="R25" i="69" s="1"/>
  <c r="U27" i="69"/>
  <c r="AA27" i="69" s="1"/>
  <c r="U26" i="69" s="1"/>
  <c r="G15" i="70"/>
  <c r="G17" i="70"/>
  <c r="R17" i="70" s="1"/>
  <c r="U21" i="70"/>
  <c r="AA21" i="70" s="1"/>
  <c r="U20" i="70" s="1"/>
  <c r="G23" i="70"/>
  <c r="R23" i="70" s="1"/>
  <c r="G21" i="69"/>
  <c r="R21" i="69" s="1"/>
  <c r="G25" i="70"/>
  <c r="R25" i="70" s="1"/>
  <c r="G13" i="69"/>
  <c r="R13" i="69" s="1"/>
  <c r="U13" i="69"/>
  <c r="AA13" i="69" s="1"/>
  <c r="U12" i="69" s="1"/>
  <c r="I8" i="70"/>
  <c r="I8" i="69"/>
  <c r="G14" i="69"/>
  <c r="G28" i="69"/>
  <c r="G38" i="69"/>
  <c r="G48" i="69"/>
  <c r="G62" i="69"/>
  <c r="G70" i="69"/>
  <c r="G16" i="70"/>
  <c r="R16" i="70" s="1"/>
  <c r="G24" i="70"/>
  <c r="R24" i="70" s="1"/>
  <c r="G32" i="70"/>
  <c r="G40" i="70"/>
  <c r="G56" i="70"/>
  <c r="G64" i="70"/>
  <c r="G72" i="70"/>
  <c r="AA15" i="69"/>
  <c r="G20" i="69"/>
  <c r="R20" i="69" s="1"/>
  <c r="AA21" i="69"/>
  <c r="U20" i="69" s="1"/>
  <c r="U23" i="69"/>
  <c r="AA23" i="69" s="1"/>
  <c r="U22" i="69" s="1"/>
  <c r="G26" i="69"/>
  <c r="R26" i="69" s="1"/>
  <c r="G30" i="69"/>
  <c r="G36" i="69"/>
  <c r="G52" i="69"/>
  <c r="G60" i="69"/>
  <c r="G68" i="69"/>
  <c r="AA17" i="70"/>
  <c r="U16" i="70" s="1"/>
  <c r="U19" i="70"/>
  <c r="AA19" i="70" s="1"/>
  <c r="U18" i="70" s="1"/>
  <c r="G22" i="70"/>
  <c r="R22" i="70" s="1"/>
  <c r="AA25" i="70"/>
  <c r="U24" i="70" s="1"/>
  <c r="U27" i="70"/>
  <c r="AA27" i="70" s="1"/>
  <c r="U26" i="70" s="1"/>
  <c r="G38" i="70"/>
  <c r="G44" i="70"/>
  <c r="G48" i="70"/>
  <c r="G54" i="70"/>
  <c r="G62" i="70"/>
  <c r="G70" i="70"/>
  <c r="U13" i="70"/>
  <c r="AA13" i="70" s="1"/>
  <c r="G44" i="69"/>
  <c r="G54" i="69"/>
  <c r="G18" i="69"/>
  <c r="R18" i="69" s="1"/>
  <c r="Y10" i="69"/>
  <c r="G16" i="69"/>
  <c r="R16" i="69" s="1"/>
  <c r="AA19" i="69"/>
  <c r="U18" i="69" s="1"/>
  <c r="G24" i="69"/>
  <c r="R24" i="69" s="1"/>
  <c r="G34" i="69"/>
  <c r="G42" i="69"/>
  <c r="G46" i="69"/>
  <c r="G50" i="69"/>
  <c r="G58" i="69"/>
  <c r="Y10" i="70"/>
  <c r="G14" i="70"/>
  <c r="AA15" i="70"/>
  <c r="G20" i="70"/>
  <c r="R20" i="70" s="1"/>
  <c r="AA23" i="70"/>
  <c r="U22" i="70" s="1"/>
  <c r="G28" i="70"/>
  <c r="G36" i="70"/>
  <c r="G52" i="70"/>
  <c r="G60" i="70"/>
  <c r="Z6" i="70"/>
  <c r="Z6" i="69"/>
  <c r="U36" i="63" l="1"/>
  <c r="Z29" i="70"/>
  <c r="Z29" i="69"/>
  <c r="U12" i="70"/>
  <c r="V6" i="2"/>
  <c r="I27" i="2"/>
  <c r="F27" i="2" s="1"/>
  <c r="I28" i="2"/>
  <c r="I26" i="2"/>
  <c r="I23" i="2"/>
  <c r="F23" i="2" s="1"/>
  <c r="I24" i="2"/>
  <c r="I22" i="2"/>
  <c r="I20" i="2"/>
  <c r="F19" i="2"/>
  <c r="I18" i="2"/>
  <c r="F15" i="2"/>
  <c r="I16" i="2"/>
  <c r="I14" i="2"/>
  <c r="D12" i="2"/>
  <c r="Q17" i="63" l="1"/>
  <c r="U29" i="69"/>
  <c r="U29" i="70"/>
  <c r="U31" i="70" s="1"/>
  <c r="Q8" i="70" l="1"/>
  <c r="AA31" i="70"/>
  <c r="U30" i="70" s="1"/>
  <c r="AA29" i="70"/>
  <c r="U31" i="69"/>
  <c r="AA29" i="69"/>
  <c r="Z5" i="69"/>
  <c r="Z5" i="70"/>
  <c r="U35" i="63" l="1"/>
  <c r="N12" i="68"/>
  <c r="AB29" i="69"/>
  <c r="U28" i="69" s="1"/>
  <c r="Q7" i="69"/>
  <c r="AB29" i="70"/>
  <c r="U28" i="70" s="1"/>
  <c r="Q7" i="70"/>
  <c r="Q8" i="69"/>
  <c r="AA31" i="69"/>
  <c r="U30" i="69" s="1"/>
  <c r="H11" i="68" l="1"/>
  <c r="U34" i="63" l="1"/>
  <c r="Y23" i="2" l="1"/>
  <c r="T33" i="2" l="1"/>
  <c r="I31" i="2" s="1"/>
  <c r="R71" i="63"/>
  <c r="R67" i="63"/>
  <c r="Y19" i="63" l="1"/>
  <c r="Y21" i="63" s="1"/>
  <c r="T66" i="63"/>
  <c r="L70" i="52"/>
  <c r="M70" i="52"/>
  <c r="P70" i="52"/>
  <c r="Q70" i="52"/>
  <c r="L71" i="52"/>
  <c r="M71" i="52"/>
  <c r="P71" i="52"/>
  <c r="Q71" i="52"/>
  <c r="S71" i="52"/>
  <c r="W71" i="52"/>
  <c r="Z71" i="52"/>
  <c r="Y73" i="52" s="1"/>
  <c r="AA71" i="52"/>
  <c r="AC71" i="52"/>
  <c r="L72" i="52"/>
  <c r="M72" i="52"/>
  <c r="P72" i="52"/>
  <c r="Q72" i="52"/>
  <c r="L73" i="52"/>
  <c r="G73" i="52" s="1"/>
  <c r="R73" i="52" s="1"/>
  <c r="M73" i="52"/>
  <c r="P73" i="52"/>
  <c r="Q73" i="52"/>
  <c r="S73" i="52"/>
  <c r="X73" i="52"/>
  <c r="AA73" i="52"/>
  <c r="AC73" i="52"/>
  <c r="AC69" i="52"/>
  <c r="AA69" i="52"/>
  <c r="Z69" i="52"/>
  <c r="S69" i="52"/>
  <c r="Q69" i="52"/>
  <c r="P69" i="52"/>
  <c r="M69" i="52"/>
  <c r="L69" i="52"/>
  <c r="U69" i="52" s="1"/>
  <c r="Q68" i="52"/>
  <c r="P68" i="52"/>
  <c r="M68" i="52"/>
  <c r="L68" i="52"/>
  <c r="AC67" i="52"/>
  <c r="AA67" i="52"/>
  <c r="X67" i="52"/>
  <c r="S67" i="52"/>
  <c r="Q67" i="52"/>
  <c r="P67" i="52"/>
  <c r="M67" i="52"/>
  <c r="L67" i="52"/>
  <c r="Q66" i="52"/>
  <c r="P66" i="52"/>
  <c r="M66" i="52"/>
  <c r="L66" i="52"/>
  <c r="AC65" i="52"/>
  <c r="AA65" i="52"/>
  <c r="Z65" i="52"/>
  <c r="W65" i="52"/>
  <c r="S65" i="52"/>
  <c r="Q65" i="52"/>
  <c r="P65" i="52"/>
  <c r="M65" i="52"/>
  <c r="L65" i="52"/>
  <c r="G65" i="52" s="1"/>
  <c r="R65" i="52" s="1"/>
  <c r="Q64" i="52"/>
  <c r="P64" i="52"/>
  <c r="M64" i="52"/>
  <c r="L64" i="52"/>
  <c r="AC63" i="52"/>
  <c r="AA63" i="52"/>
  <c r="Z63" i="52"/>
  <c r="W63" i="52"/>
  <c r="S63" i="52"/>
  <c r="Q63" i="52"/>
  <c r="P63" i="52"/>
  <c r="M63" i="52"/>
  <c r="L63" i="52"/>
  <c r="Q62" i="52"/>
  <c r="P62" i="52"/>
  <c r="M62" i="52"/>
  <c r="L62" i="52"/>
  <c r="AC61" i="52"/>
  <c r="AA61" i="52"/>
  <c r="Z61" i="52"/>
  <c r="Y67" i="52" s="1"/>
  <c r="Z67" i="52" s="1"/>
  <c r="W61" i="52"/>
  <c r="S61" i="52"/>
  <c r="Q61" i="52"/>
  <c r="P61" i="52"/>
  <c r="M61" i="52"/>
  <c r="L61" i="52"/>
  <c r="Q60" i="52"/>
  <c r="P60" i="52"/>
  <c r="M60" i="52"/>
  <c r="L60" i="52"/>
  <c r="AC59" i="52"/>
  <c r="AA59" i="52"/>
  <c r="Z59" i="52"/>
  <c r="S59" i="52"/>
  <c r="Q59" i="52"/>
  <c r="P59" i="52"/>
  <c r="M59" i="52"/>
  <c r="L59" i="52"/>
  <c r="U59" i="52" s="1"/>
  <c r="Q58" i="52"/>
  <c r="P58" i="52"/>
  <c r="M58" i="52"/>
  <c r="L58" i="52"/>
  <c r="AC57" i="52"/>
  <c r="AA57" i="52"/>
  <c r="X57" i="52"/>
  <c r="S57" i="52"/>
  <c r="Q57" i="52"/>
  <c r="P57" i="52"/>
  <c r="M57" i="52"/>
  <c r="L57" i="52"/>
  <c r="Q56" i="52"/>
  <c r="P56" i="52"/>
  <c r="M56" i="52"/>
  <c r="L56" i="52"/>
  <c r="AD6" i="58"/>
  <c r="AD7" i="58"/>
  <c r="A8" i="58"/>
  <c r="AC8" i="58"/>
  <c r="AD8" i="58"/>
  <c r="L12" i="58"/>
  <c r="G12" i="58" s="1"/>
  <c r="R12" i="58" s="1"/>
  <c r="M12" i="58"/>
  <c r="P12" i="58"/>
  <c r="Q12" i="58"/>
  <c r="L13" i="58"/>
  <c r="G13" i="58" s="1"/>
  <c r="R13" i="58" s="1"/>
  <c r="M13" i="58"/>
  <c r="P13" i="58"/>
  <c r="Q13" i="58"/>
  <c r="S13" i="58"/>
  <c r="Z13" i="58"/>
  <c r="AA13" i="58"/>
  <c r="AC13" i="58"/>
  <c r="L14" i="58"/>
  <c r="G14" i="58" s="1"/>
  <c r="R14" i="58" s="1"/>
  <c r="M14" i="58"/>
  <c r="P14" i="58"/>
  <c r="Q14" i="58"/>
  <c r="L15" i="58"/>
  <c r="M15" i="58"/>
  <c r="P15" i="58"/>
  <c r="Q15" i="58"/>
  <c r="S15" i="58"/>
  <c r="Z15" i="58"/>
  <c r="AA15" i="58"/>
  <c r="AC15" i="58"/>
  <c r="L16" i="58"/>
  <c r="G16" i="58" s="1"/>
  <c r="R16" i="58" s="1"/>
  <c r="M16" i="58"/>
  <c r="P16" i="58"/>
  <c r="Q16" i="58"/>
  <c r="L17" i="58"/>
  <c r="M17" i="58"/>
  <c r="P17" i="58"/>
  <c r="Q17" i="58"/>
  <c r="S17" i="58"/>
  <c r="X17" i="58"/>
  <c r="AA17" i="58"/>
  <c r="AC17" i="58"/>
  <c r="L18" i="58"/>
  <c r="G18" i="58" s="1"/>
  <c r="R18" i="58" s="1"/>
  <c r="M18" i="58"/>
  <c r="P18" i="58"/>
  <c r="Q18" i="58"/>
  <c r="L19" i="58"/>
  <c r="U19" i="58" s="1"/>
  <c r="M19" i="58"/>
  <c r="P19" i="58"/>
  <c r="Q19" i="58"/>
  <c r="S19" i="58"/>
  <c r="Z19" i="58"/>
  <c r="AA19" i="58"/>
  <c r="AC19" i="58"/>
  <c r="L20" i="58"/>
  <c r="G20" i="58" s="1"/>
  <c r="R20" i="58" s="1"/>
  <c r="M20" i="58"/>
  <c r="P20" i="58"/>
  <c r="Q20" i="58"/>
  <c r="L21" i="58"/>
  <c r="G21" i="58" s="1"/>
  <c r="R21" i="58" s="1"/>
  <c r="M21" i="58"/>
  <c r="P21" i="58"/>
  <c r="Q21" i="58"/>
  <c r="S21" i="58"/>
  <c r="Z21" i="58"/>
  <c r="AA21" i="58"/>
  <c r="AC21" i="58"/>
  <c r="L22" i="58"/>
  <c r="G22" i="58" s="1"/>
  <c r="R22" i="58" s="1"/>
  <c r="M22" i="58"/>
  <c r="P22" i="58"/>
  <c r="Q22" i="58"/>
  <c r="L23" i="58"/>
  <c r="G23" i="58" s="1"/>
  <c r="R23" i="58" s="1"/>
  <c r="M23" i="58"/>
  <c r="P23" i="58"/>
  <c r="Q23" i="58"/>
  <c r="S23" i="58"/>
  <c r="Z23" i="58"/>
  <c r="L24" i="58"/>
  <c r="G24" i="58" s="1"/>
  <c r="R24" i="58" s="1"/>
  <c r="M24" i="58"/>
  <c r="P24" i="58"/>
  <c r="Q24" i="58"/>
  <c r="L25" i="58"/>
  <c r="M25" i="58"/>
  <c r="P25" i="58"/>
  <c r="Q25" i="58"/>
  <c r="S25" i="58"/>
  <c r="Z25" i="58"/>
  <c r="Y27" i="58" s="1"/>
  <c r="AA25" i="58"/>
  <c r="AC25" i="58"/>
  <c r="L26" i="58"/>
  <c r="G26" i="58" s="1"/>
  <c r="R26" i="58" s="1"/>
  <c r="M26" i="58"/>
  <c r="P26" i="58"/>
  <c r="Q26" i="58"/>
  <c r="L27" i="58"/>
  <c r="M27" i="58"/>
  <c r="P27" i="58"/>
  <c r="Q27" i="58"/>
  <c r="S27" i="58"/>
  <c r="X27" i="58"/>
  <c r="AA27" i="58"/>
  <c r="AC27" i="58"/>
  <c r="L28" i="58"/>
  <c r="G28" i="58" s="1"/>
  <c r="R28" i="58" s="1"/>
  <c r="M28" i="58"/>
  <c r="P28" i="58"/>
  <c r="Q28" i="58"/>
  <c r="L29" i="58"/>
  <c r="U29" i="58" s="1"/>
  <c r="M29" i="58"/>
  <c r="P29" i="58"/>
  <c r="Q29" i="58"/>
  <c r="S29" i="58"/>
  <c r="Z29" i="58"/>
  <c r="AA29" i="58"/>
  <c r="AC29" i="58"/>
  <c r="L30" i="58"/>
  <c r="G30" i="58" s="1"/>
  <c r="R30" i="58" s="1"/>
  <c r="M30" i="58"/>
  <c r="P30" i="58"/>
  <c r="Q30" i="58"/>
  <c r="L31" i="58"/>
  <c r="U31" i="58" s="1"/>
  <c r="M31" i="58"/>
  <c r="P31" i="58"/>
  <c r="Q31" i="58"/>
  <c r="S31" i="58"/>
  <c r="Z31" i="58"/>
  <c r="AA31" i="58"/>
  <c r="AC31" i="58"/>
  <c r="L32" i="58"/>
  <c r="G32" i="58" s="1"/>
  <c r="R32" i="58" s="1"/>
  <c r="M32" i="58"/>
  <c r="P32" i="58"/>
  <c r="Q32" i="58"/>
  <c r="L33" i="58"/>
  <c r="G33" i="58" s="1"/>
  <c r="R33" i="58" s="1"/>
  <c r="M33" i="58"/>
  <c r="P33" i="58"/>
  <c r="Q33" i="58"/>
  <c r="S33" i="58"/>
  <c r="Z33" i="58"/>
  <c r="L34" i="58"/>
  <c r="G34" i="58" s="1"/>
  <c r="R34" i="58" s="1"/>
  <c r="M34" i="58"/>
  <c r="P34" i="58"/>
  <c r="Q34" i="58"/>
  <c r="L35" i="58"/>
  <c r="G35" i="58" s="1"/>
  <c r="R35" i="58" s="1"/>
  <c r="M35" i="58"/>
  <c r="P35" i="58"/>
  <c r="Q35" i="58"/>
  <c r="S35" i="58"/>
  <c r="Z35" i="58"/>
  <c r="AA35" i="58"/>
  <c r="AC35" i="58"/>
  <c r="L36" i="58"/>
  <c r="G36" i="58" s="1"/>
  <c r="R36" i="58" s="1"/>
  <c r="M36" i="58"/>
  <c r="P36" i="58"/>
  <c r="Q36" i="58"/>
  <c r="L37" i="58"/>
  <c r="G37" i="58" s="1"/>
  <c r="R37" i="58" s="1"/>
  <c r="M37" i="58"/>
  <c r="P37" i="58"/>
  <c r="Q37" i="58"/>
  <c r="S37" i="58"/>
  <c r="Z37" i="58"/>
  <c r="AA37" i="58"/>
  <c r="AC37" i="58"/>
  <c r="L38" i="58"/>
  <c r="G38" i="58" s="1"/>
  <c r="R38" i="58" s="1"/>
  <c r="M38" i="58"/>
  <c r="P38" i="58"/>
  <c r="Q38" i="58"/>
  <c r="L39" i="58"/>
  <c r="G39" i="58" s="1"/>
  <c r="R39" i="58" s="1"/>
  <c r="M39" i="58"/>
  <c r="P39" i="58"/>
  <c r="Q39" i="58"/>
  <c r="S39" i="58"/>
  <c r="X39" i="58"/>
  <c r="Y39" i="58"/>
  <c r="Z39" i="58" s="1"/>
  <c r="AA39" i="58"/>
  <c r="AC39" i="58"/>
  <c r="L40" i="58"/>
  <c r="G40" i="58" s="1"/>
  <c r="R40" i="58" s="1"/>
  <c r="M40" i="58"/>
  <c r="P40" i="58"/>
  <c r="Q40" i="58"/>
  <c r="L41" i="58"/>
  <c r="U41" i="58" s="1"/>
  <c r="M41" i="58"/>
  <c r="P41" i="58"/>
  <c r="Q41" i="58"/>
  <c r="S41" i="58"/>
  <c r="Z41" i="58"/>
  <c r="AA41" i="58"/>
  <c r="AC41" i="58"/>
  <c r="L42" i="58"/>
  <c r="G42" i="58" s="1"/>
  <c r="R42" i="58" s="1"/>
  <c r="M42" i="58"/>
  <c r="P42" i="58"/>
  <c r="Q42" i="58"/>
  <c r="L43" i="58"/>
  <c r="U43" i="58" s="1"/>
  <c r="AB43" i="58" s="1"/>
  <c r="M43" i="58"/>
  <c r="P43" i="58"/>
  <c r="Q43" i="58"/>
  <c r="S43" i="58"/>
  <c r="Z43" i="58"/>
  <c r="AA43" i="58"/>
  <c r="AC43" i="58"/>
  <c r="L44" i="58"/>
  <c r="G44" i="58" s="1"/>
  <c r="R44" i="58" s="1"/>
  <c r="M44" i="58"/>
  <c r="P44" i="58"/>
  <c r="Q44" i="58"/>
  <c r="L45" i="58"/>
  <c r="G45" i="58" s="1"/>
  <c r="R45" i="58" s="1"/>
  <c r="M45" i="58"/>
  <c r="P45" i="58"/>
  <c r="Q45" i="58"/>
  <c r="S45" i="58"/>
  <c r="Z45" i="58"/>
  <c r="L46" i="58"/>
  <c r="G46" i="58" s="1"/>
  <c r="R46" i="58" s="1"/>
  <c r="M46" i="58"/>
  <c r="P46" i="58"/>
  <c r="Q46" i="58"/>
  <c r="L47" i="58"/>
  <c r="G47" i="58" s="1"/>
  <c r="R47" i="58" s="1"/>
  <c r="M47" i="58"/>
  <c r="P47" i="58"/>
  <c r="Q47" i="58"/>
  <c r="S47" i="58"/>
  <c r="Z47" i="58"/>
  <c r="Y49" i="58" s="1"/>
  <c r="Z49" i="58" s="1"/>
  <c r="AA47" i="58"/>
  <c r="AC47" i="58"/>
  <c r="L48" i="58"/>
  <c r="G48" i="58" s="1"/>
  <c r="R48" i="58" s="1"/>
  <c r="M48" i="58"/>
  <c r="P48" i="58"/>
  <c r="Q48" i="58"/>
  <c r="L49" i="58"/>
  <c r="G49" i="58" s="1"/>
  <c r="R49" i="58" s="1"/>
  <c r="M49" i="58"/>
  <c r="P49" i="58"/>
  <c r="Q49" i="58"/>
  <c r="S49" i="58"/>
  <c r="X49" i="58"/>
  <c r="AA49" i="58"/>
  <c r="AC49" i="58"/>
  <c r="L50" i="58"/>
  <c r="G50" i="58" s="1"/>
  <c r="R50" i="58" s="1"/>
  <c r="M50" i="58"/>
  <c r="P50" i="58"/>
  <c r="Q50" i="58"/>
  <c r="L51" i="58"/>
  <c r="G51" i="58" s="1"/>
  <c r="R51" i="58" s="1"/>
  <c r="M51" i="58"/>
  <c r="P51" i="58"/>
  <c r="Q51" i="58"/>
  <c r="S51" i="58"/>
  <c r="Z51" i="58"/>
  <c r="AA51" i="58"/>
  <c r="AC51" i="58"/>
  <c r="L52" i="58"/>
  <c r="G52" i="58" s="1"/>
  <c r="R52" i="58" s="1"/>
  <c r="M52" i="58"/>
  <c r="P52" i="58"/>
  <c r="Q52" i="58"/>
  <c r="L53" i="58"/>
  <c r="U53" i="58" s="1"/>
  <c r="M53" i="58"/>
  <c r="P53" i="58"/>
  <c r="Q53" i="58"/>
  <c r="S53" i="58"/>
  <c r="Z53" i="58"/>
  <c r="AA53" i="58"/>
  <c r="AC53" i="58"/>
  <c r="L54" i="58"/>
  <c r="G54" i="58" s="1"/>
  <c r="R54" i="58" s="1"/>
  <c r="M54" i="58"/>
  <c r="P54" i="58"/>
  <c r="Q54" i="58"/>
  <c r="L55" i="58"/>
  <c r="G55" i="58" s="1"/>
  <c r="R55" i="58" s="1"/>
  <c r="M55" i="58"/>
  <c r="P55" i="58"/>
  <c r="Q55" i="58"/>
  <c r="S55" i="58"/>
  <c r="Z55" i="58"/>
  <c r="AA55" i="58"/>
  <c r="AC55" i="58"/>
  <c r="L56" i="58"/>
  <c r="G56" i="58" s="1"/>
  <c r="R56" i="58" s="1"/>
  <c r="M56" i="58"/>
  <c r="P56" i="58"/>
  <c r="Q56" i="58"/>
  <c r="L57" i="58"/>
  <c r="G57" i="58" s="1"/>
  <c r="R57" i="58" s="1"/>
  <c r="M57" i="58"/>
  <c r="P57" i="58"/>
  <c r="Q57" i="58"/>
  <c r="S57" i="58"/>
  <c r="Z57" i="58"/>
  <c r="L58" i="58"/>
  <c r="G58" i="58" s="1"/>
  <c r="R58" i="58" s="1"/>
  <c r="M58" i="58"/>
  <c r="P58" i="58"/>
  <c r="Q58" i="58"/>
  <c r="L59" i="58"/>
  <c r="M59" i="58"/>
  <c r="P59" i="58"/>
  <c r="Q59" i="58"/>
  <c r="S59" i="58"/>
  <c r="Z59" i="58"/>
  <c r="AA59" i="58"/>
  <c r="AC59" i="58"/>
  <c r="L60" i="58"/>
  <c r="G60" i="58" s="1"/>
  <c r="R60" i="58" s="1"/>
  <c r="M60" i="58"/>
  <c r="P60" i="58"/>
  <c r="Q60" i="58"/>
  <c r="L61" i="58"/>
  <c r="U61" i="58" s="1"/>
  <c r="M61" i="58"/>
  <c r="P61" i="58"/>
  <c r="Q61" i="58"/>
  <c r="S61" i="58"/>
  <c r="Z61" i="58"/>
  <c r="AA61" i="58"/>
  <c r="AC61" i="58"/>
  <c r="L62" i="58"/>
  <c r="G62" i="58" s="1"/>
  <c r="R62" i="58" s="1"/>
  <c r="M62" i="58"/>
  <c r="P62" i="58"/>
  <c r="Q62" i="58"/>
  <c r="L63" i="58"/>
  <c r="G63" i="58" s="1"/>
  <c r="R63" i="58" s="1"/>
  <c r="M63" i="58"/>
  <c r="P63" i="58"/>
  <c r="Q63" i="58"/>
  <c r="S63" i="58"/>
  <c r="Z63" i="58"/>
  <c r="AA63" i="58"/>
  <c r="AC63" i="58"/>
  <c r="L64" i="58"/>
  <c r="G64" i="58" s="1"/>
  <c r="R64" i="58" s="1"/>
  <c r="M64" i="58"/>
  <c r="P64" i="58"/>
  <c r="Q64" i="58"/>
  <c r="L65" i="58"/>
  <c r="G65" i="58" s="1"/>
  <c r="R65" i="58" s="1"/>
  <c r="M65" i="58"/>
  <c r="P65" i="58"/>
  <c r="Q65" i="58"/>
  <c r="S65" i="58"/>
  <c r="Z65" i="58"/>
  <c r="L66" i="58"/>
  <c r="G66" i="58" s="1"/>
  <c r="R66" i="58" s="1"/>
  <c r="M66" i="58"/>
  <c r="P66" i="58"/>
  <c r="Q66" i="58"/>
  <c r="L67" i="58"/>
  <c r="U67" i="58" s="1"/>
  <c r="M67" i="58"/>
  <c r="P67" i="58"/>
  <c r="Q67" i="58"/>
  <c r="S67" i="58"/>
  <c r="Z67" i="58"/>
  <c r="AA67" i="58"/>
  <c r="AC67" i="58"/>
  <c r="L68" i="58"/>
  <c r="G68" i="58" s="1"/>
  <c r="R68" i="58" s="1"/>
  <c r="M68" i="58"/>
  <c r="P68" i="58"/>
  <c r="Q68" i="58"/>
  <c r="L69" i="58"/>
  <c r="G69" i="58" s="1"/>
  <c r="R69" i="58" s="1"/>
  <c r="M69" i="58"/>
  <c r="P69" i="58"/>
  <c r="Q69" i="58"/>
  <c r="S69" i="58"/>
  <c r="Z69" i="58"/>
  <c r="L70" i="58"/>
  <c r="G70" i="58" s="1"/>
  <c r="R70" i="58" s="1"/>
  <c r="M70" i="58"/>
  <c r="P70" i="58"/>
  <c r="Q70" i="58"/>
  <c r="L71" i="58"/>
  <c r="G71" i="58" s="1"/>
  <c r="R71" i="58" s="1"/>
  <c r="M71" i="58"/>
  <c r="P71" i="58"/>
  <c r="Q71" i="58"/>
  <c r="S71" i="58"/>
  <c r="Z71" i="58"/>
  <c r="L72" i="58"/>
  <c r="G72" i="58" s="1"/>
  <c r="R72" i="58" s="1"/>
  <c r="M72" i="58"/>
  <c r="P72" i="58"/>
  <c r="Q72" i="58"/>
  <c r="L73" i="58"/>
  <c r="G73" i="58" s="1"/>
  <c r="R73" i="58" s="1"/>
  <c r="M73" i="58"/>
  <c r="P73" i="58"/>
  <c r="Q73" i="58"/>
  <c r="S73" i="58"/>
  <c r="Z73" i="58"/>
  <c r="AA73" i="58"/>
  <c r="AC73" i="58"/>
  <c r="A74" i="58"/>
  <c r="B8" i="58" s="1"/>
  <c r="U74" i="58"/>
  <c r="L78" i="58"/>
  <c r="G78" i="58" s="1"/>
  <c r="R78" i="58" s="1"/>
  <c r="M78" i="58"/>
  <c r="P78" i="58"/>
  <c r="Q78" i="58"/>
  <c r="L79" i="58"/>
  <c r="G79" i="58" s="1"/>
  <c r="R79" i="58" s="1"/>
  <c r="M79" i="58"/>
  <c r="P79" i="58"/>
  <c r="Q79" i="58"/>
  <c r="S79" i="58"/>
  <c r="Z79" i="58"/>
  <c r="AA79" i="58"/>
  <c r="AC79" i="58"/>
  <c r="L80" i="58"/>
  <c r="G80" i="58" s="1"/>
  <c r="R80" i="58" s="1"/>
  <c r="M80" i="58"/>
  <c r="P80" i="58"/>
  <c r="Q80" i="58"/>
  <c r="L81" i="58"/>
  <c r="G81" i="58" s="1"/>
  <c r="R81" i="58" s="1"/>
  <c r="M81" i="58"/>
  <c r="P81" i="58"/>
  <c r="Q81" i="58"/>
  <c r="S81" i="58"/>
  <c r="Z81" i="58"/>
  <c r="AA81" i="58"/>
  <c r="AC81" i="58"/>
  <c r="L82" i="58"/>
  <c r="G82" i="58" s="1"/>
  <c r="R82" i="58" s="1"/>
  <c r="M82" i="58"/>
  <c r="P82" i="58"/>
  <c r="Q82" i="58"/>
  <c r="L83" i="58"/>
  <c r="U83" i="58" s="1"/>
  <c r="M83" i="58"/>
  <c r="P83" i="58"/>
  <c r="Q83" i="58"/>
  <c r="S83" i="58"/>
  <c r="Z83" i="58"/>
  <c r="AA83" i="58"/>
  <c r="AC83" i="58"/>
  <c r="L84" i="58"/>
  <c r="G84" i="58" s="1"/>
  <c r="R84" i="58" s="1"/>
  <c r="M84" i="58"/>
  <c r="P84" i="58"/>
  <c r="Q84" i="58"/>
  <c r="L85" i="58"/>
  <c r="U85" i="58" s="1"/>
  <c r="M85" i="58"/>
  <c r="P85" i="58"/>
  <c r="Q85" i="58"/>
  <c r="S85" i="58"/>
  <c r="Z85" i="58"/>
  <c r="AA85" i="58"/>
  <c r="AC85" i="58"/>
  <c r="L86" i="58"/>
  <c r="G86" i="58" s="1"/>
  <c r="R86" i="58" s="1"/>
  <c r="M86" i="58"/>
  <c r="P86" i="58"/>
  <c r="Q86" i="58"/>
  <c r="L87" i="58"/>
  <c r="U87" i="58" s="1"/>
  <c r="M87" i="58"/>
  <c r="P87" i="58"/>
  <c r="Q87" i="58"/>
  <c r="S87" i="58"/>
  <c r="Z87" i="58"/>
  <c r="AA87" i="58"/>
  <c r="AC87" i="58"/>
  <c r="L88" i="58"/>
  <c r="G88" i="58" s="1"/>
  <c r="R88" i="58" s="1"/>
  <c r="M88" i="58"/>
  <c r="P88" i="58"/>
  <c r="Q88" i="58"/>
  <c r="L89" i="58"/>
  <c r="G89" i="58" s="1"/>
  <c r="R89" i="58" s="1"/>
  <c r="M89" i="58"/>
  <c r="P89" i="58"/>
  <c r="Q89" i="58"/>
  <c r="S89" i="58"/>
  <c r="Z89" i="58"/>
  <c r="AA89" i="58"/>
  <c r="AC89" i="58"/>
  <c r="L90" i="58"/>
  <c r="G90" i="58" s="1"/>
  <c r="R90" i="58" s="1"/>
  <c r="M90" i="58"/>
  <c r="P90" i="58"/>
  <c r="Q90" i="58"/>
  <c r="L91" i="58"/>
  <c r="G91" i="58" s="1"/>
  <c r="R91" i="58" s="1"/>
  <c r="M91" i="58"/>
  <c r="P91" i="58"/>
  <c r="Q91" i="58"/>
  <c r="S91" i="58"/>
  <c r="Z91" i="58"/>
  <c r="AA91" i="58"/>
  <c r="AC91" i="58"/>
  <c r="L92" i="58"/>
  <c r="G92" i="58" s="1"/>
  <c r="R92" i="58" s="1"/>
  <c r="M92" i="58"/>
  <c r="P92" i="58"/>
  <c r="Q92" i="58"/>
  <c r="L93" i="58"/>
  <c r="U93" i="58" s="1"/>
  <c r="M93" i="58"/>
  <c r="P93" i="58"/>
  <c r="Q93" i="58"/>
  <c r="S93" i="58"/>
  <c r="Z93" i="58"/>
  <c r="AA93" i="58"/>
  <c r="AC93" i="58"/>
  <c r="L94" i="58"/>
  <c r="G94" i="58" s="1"/>
  <c r="R94" i="58" s="1"/>
  <c r="M94" i="58"/>
  <c r="P94" i="58"/>
  <c r="Q94" i="58"/>
  <c r="L95" i="58"/>
  <c r="U95" i="58" s="1"/>
  <c r="M95" i="58"/>
  <c r="P95" i="58"/>
  <c r="Q95" i="58"/>
  <c r="S95" i="58"/>
  <c r="Z95" i="58"/>
  <c r="AA95" i="58"/>
  <c r="AC95" i="58"/>
  <c r="L96" i="58"/>
  <c r="G96" i="58" s="1"/>
  <c r="R96" i="58" s="1"/>
  <c r="M96" i="58"/>
  <c r="P96" i="58"/>
  <c r="Q96" i="58"/>
  <c r="L97" i="58"/>
  <c r="G97" i="58" s="1"/>
  <c r="R97" i="58" s="1"/>
  <c r="M97" i="58"/>
  <c r="P97" i="58"/>
  <c r="Q97" i="58"/>
  <c r="S97" i="58"/>
  <c r="Z97" i="58"/>
  <c r="AA97" i="58"/>
  <c r="AC97" i="58"/>
  <c r="L98" i="58"/>
  <c r="G98" i="58" s="1"/>
  <c r="R98" i="58" s="1"/>
  <c r="M98" i="58"/>
  <c r="P98" i="58"/>
  <c r="Q98" i="58"/>
  <c r="L99" i="58"/>
  <c r="U99" i="58" s="1"/>
  <c r="M99" i="58"/>
  <c r="P99" i="58"/>
  <c r="Q99" i="58"/>
  <c r="S99" i="58"/>
  <c r="Z99" i="58"/>
  <c r="AA99" i="58"/>
  <c r="AC99" i="58"/>
  <c r="L100" i="58"/>
  <c r="G100" i="58" s="1"/>
  <c r="R100" i="58" s="1"/>
  <c r="M100" i="58"/>
  <c r="P100" i="58"/>
  <c r="Q100" i="58"/>
  <c r="L101" i="58"/>
  <c r="U101" i="58" s="1"/>
  <c r="M101" i="58"/>
  <c r="P101" i="58"/>
  <c r="Q101" i="58"/>
  <c r="S101" i="58"/>
  <c r="Z101" i="58"/>
  <c r="AA101" i="58"/>
  <c r="AC101" i="58"/>
  <c r="L102" i="58"/>
  <c r="G102" i="58" s="1"/>
  <c r="R102" i="58" s="1"/>
  <c r="M102" i="58"/>
  <c r="P102" i="58"/>
  <c r="Q102" i="58"/>
  <c r="L103" i="58"/>
  <c r="G103" i="58" s="1"/>
  <c r="R103" i="58" s="1"/>
  <c r="M103" i="58"/>
  <c r="P103" i="58"/>
  <c r="Q103" i="58"/>
  <c r="S103" i="58"/>
  <c r="Z103" i="58"/>
  <c r="AA103" i="58"/>
  <c r="AC103" i="58"/>
  <c r="L104" i="58"/>
  <c r="G104" i="58" s="1"/>
  <c r="R104" i="58" s="1"/>
  <c r="M104" i="58"/>
  <c r="P104" i="58"/>
  <c r="Q104" i="58"/>
  <c r="L105" i="58"/>
  <c r="U105" i="58" s="1"/>
  <c r="AB105" i="58" s="1"/>
  <c r="M105" i="58"/>
  <c r="P105" i="58"/>
  <c r="Q105" i="58"/>
  <c r="S105" i="58"/>
  <c r="Z105" i="58"/>
  <c r="AA105" i="58"/>
  <c r="AC105" i="58"/>
  <c r="L106" i="58"/>
  <c r="G106" i="58" s="1"/>
  <c r="R106" i="58" s="1"/>
  <c r="M106" i="58"/>
  <c r="P106" i="58"/>
  <c r="Q106" i="58"/>
  <c r="L107" i="58"/>
  <c r="U107" i="58" s="1"/>
  <c r="M107" i="58"/>
  <c r="P107" i="58"/>
  <c r="Q107" i="58"/>
  <c r="S107" i="58"/>
  <c r="Z107" i="58"/>
  <c r="AA107" i="58"/>
  <c r="AC107" i="58"/>
  <c r="L108" i="58"/>
  <c r="G108" i="58" s="1"/>
  <c r="R108" i="58" s="1"/>
  <c r="M108" i="58"/>
  <c r="P108" i="58"/>
  <c r="Q108" i="58"/>
  <c r="L109" i="58"/>
  <c r="G109" i="58" s="1"/>
  <c r="R109" i="58" s="1"/>
  <c r="M109" i="58"/>
  <c r="P109" i="58"/>
  <c r="Q109" i="58"/>
  <c r="S109" i="58"/>
  <c r="Z109" i="58"/>
  <c r="AA109" i="58"/>
  <c r="AC109" i="58"/>
  <c r="L110" i="58"/>
  <c r="G110" i="58" s="1"/>
  <c r="R110" i="58" s="1"/>
  <c r="M110" i="58"/>
  <c r="P110" i="58"/>
  <c r="Q110" i="58"/>
  <c r="L111" i="58"/>
  <c r="G111" i="58" s="1"/>
  <c r="R111" i="58" s="1"/>
  <c r="M111" i="58"/>
  <c r="P111" i="58"/>
  <c r="Q111" i="58"/>
  <c r="S111" i="58"/>
  <c r="Z111" i="58"/>
  <c r="AA111" i="58"/>
  <c r="AC111" i="58"/>
  <c r="L112" i="58"/>
  <c r="G112" i="58" s="1"/>
  <c r="R112" i="58" s="1"/>
  <c r="M112" i="58"/>
  <c r="P112" i="58"/>
  <c r="Q112" i="58"/>
  <c r="L113" i="58"/>
  <c r="G113" i="58" s="1"/>
  <c r="R113" i="58" s="1"/>
  <c r="M113" i="58"/>
  <c r="P113" i="58"/>
  <c r="Q113" i="58"/>
  <c r="S113" i="58"/>
  <c r="Z113" i="58"/>
  <c r="AA113" i="58"/>
  <c r="AC113" i="58"/>
  <c r="L114" i="58"/>
  <c r="G114" i="58" s="1"/>
  <c r="R114" i="58" s="1"/>
  <c r="M114" i="58"/>
  <c r="P114" i="58"/>
  <c r="Q114" i="58"/>
  <c r="L115" i="58"/>
  <c r="G115" i="58" s="1"/>
  <c r="R115" i="58" s="1"/>
  <c r="M115" i="58"/>
  <c r="P115" i="58"/>
  <c r="Q115" i="58"/>
  <c r="S115" i="58"/>
  <c r="Z115" i="58"/>
  <c r="AA115" i="58"/>
  <c r="AC115" i="58"/>
  <c r="L116" i="58"/>
  <c r="G116" i="58" s="1"/>
  <c r="R116" i="58" s="1"/>
  <c r="M116" i="58"/>
  <c r="P116" i="58"/>
  <c r="Q116" i="58"/>
  <c r="L117" i="58"/>
  <c r="G117" i="58" s="1"/>
  <c r="R117" i="58" s="1"/>
  <c r="M117" i="58"/>
  <c r="P117" i="58"/>
  <c r="Q117" i="58"/>
  <c r="S117" i="58"/>
  <c r="Z117" i="58"/>
  <c r="AA117" i="58"/>
  <c r="AC117" i="58"/>
  <c r="L118" i="58"/>
  <c r="G118" i="58" s="1"/>
  <c r="R118" i="58" s="1"/>
  <c r="M118" i="58"/>
  <c r="P118" i="58"/>
  <c r="Q118" i="58"/>
  <c r="L119" i="58"/>
  <c r="G119" i="58" s="1"/>
  <c r="R119" i="58" s="1"/>
  <c r="M119" i="58"/>
  <c r="P119" i="58"/>
  <c r="Q119" i="58"/>
  <c r="S119" i="58"/>
  <c r="Z119" i="58"/>
  <c r="AA119" i="58"/>
  <c r="AC119" i="58"/>
  <c r="L120" i="58"/>
  <c r="G120" i="58" s="1"/>
  <c r="R120" i="58" s="1"/>
  <c r="M120" i="58"/>
  <c r="P120" i="58"/>
  <c r="Q120" i="58"/>
  <c r="L121" i="58"/>
  <c r="U121" i="58" s="1"/>
  <c r="AB121" i="58" s="1"/>
  <c r="M121" i="58"/>
  <c r="P121" i="58"/>
  <c r="Q121" i="58"/>
  <c r="S121" i="58"/>
  <c r="Z121" i="58"/>
  <c r="AA121" i="58"/>
  <c r="AC121" i="58"/>
  <c r="L122" i="58"/>
  <c r="G122" i="58" s="1"/>
  <c r="R122" i="58" s="1"/>
  <c r="M122" i="58"/>
  <c r="P122" i="58"/>
  <c r="Q122" i="58"/>
  <c r="L123" i="58"/>
  <c r="U123" i="58" s="1"/>
  <c r="AB123" i="58" s="1"/>
  <c r="M123" i="58"/>
  <c r="P123" i="58"/>
  <c r="Q123" i="58"/>
  <c r="S123" i="58"/>
  <c r="Z123" i="58"/>
  <c r="AA123" i="58"/>
  <c r="AC123" i="58"/>
  <c r="L124" i="58"/>
  <c r="G124" i="58" s="1"/>
  <c r="R124" i="58" s="1"/>
  <c r="M124" i="58"/>
  <c r="P124" i="58"/>
  <c r="Q124" i="58"/>
  <c r="L125" i="58"/>
  <c r="G125" i="58" s="1"/>
  <c r="R125" i="58" s="1"/>
  <c r="M125" i="58"/>
  <c r="P125" i="58"/>
  <c r="Q125" i="58"/>
  <c r="S125" i="58"/>
  <c r="Z125" i="58"/>
  <c r="AA125" i="58"/>
  <c r="AC125" i="58"/>
  <c r="L126" i="58"/>
  <c r="G126" i="58" s="1"/>
  <c r="R126" i="58" s="1"/>
  <c r="M126" i="58"/>
  <c r="P126" i="58"/>
  <c r="Q126" i="58"/>
  <c r="L127" i="58"/>
  <c r="U127" i="58" s="1"/>
  <c r="M127" i="58"/>
  <c r="P127" i="58"/>
  <c r="Q127" i="58"/>
  <c r="S127" i="58"/>
  <c r="Z127" i="58"/>
  <c r="AA127" i="58"/>
  <c r="AC127" i="58"/>
  <c r="L128" i="58"/>
  <c r="G128" i="58" s="1"/>
  <c r="R128" i="58" s="1"/>
  <c r="M128" i="58"/>
  <c r="P128" i="58"/>
  <c r="Q128" i="58"/>
  <c r="L129" i="58"/>
  <c r="G129" i="58" s="1"/>
  <c r="R129" i="58" s="1"/>
  <c r="M129" i="58"/>
  <c r="P129" i="58"/>
  <c r="Q129" i="58"/>
  <c r="S129" i="58"/>
  <c r="Z129" i="58"/>
  <c r="AA129" i="58"/>
  <c r="AC129" i="58"/>
  <c r="L130" i="58"/>
  <c r="G130" i="58" s="1"/>
  <c r="R130" i="58" s="1"/>
  <c r="M130" i="58"/>
  <c r="P130" i="58"/>
  <c r="Q130" i="58"/>
  <c r="L131" i="58"/>
  <c r="G131" i="58" s="1"/>
  <c r="R131" i="58" s="1"/>
  <c r="M131" i="58"/>
  <c r="P131" i="58"/>
  <c r="Q131" i="58"/>
  <c r="S131" i="58"/>
  <c r="Z131" i="58"/>
  <c r="AA131" i="58"/>
  <c r="AC131" i="58"/>
  <c r="L132" i="58"/>
  <c r="G132" i="58" s="1"/>
  <c r="R132" i="58" s="1"/>
  <c r="M132" i="58"/>
  <c r="P132" i="58"/>
  <c r="Q132" i="58"/>
  <c r="L133" i="58"/>
  <c r="G133" i="58" s="1"/>
  <c r="R133" i="58" s="1"/>
  <c r="M133" i="58"/>
  <c r="P133" i="58"/>
  <c r="Q133" i="58"/>
  <c r="S133" i="58"/>
  <c r="Z133" i="58"/>
  <c r="AA133" i="58"/>
  <c r="AC133" i="58"/>
  <c r="L134" i="58"/>
  <c r="G134" i="58" s="1"/>
  <c r="R134" i="58" s="1"/>
  <c r="M134" i="58"/>
  <c r="P134" i="58"/>
  <c r="Q134" i="58"/>
  <c r="L135" i="58"/>
  <c r="G135" i="58" s="1"/>
  <c r="R135" i="58" s="1"/>
  <c r="M135" i="58"/>
  <c r="P135" i="58"/>
  <c r="Q135" i="58"/>
  <c r="S135" i="58"/>
  <c r="Z135" i="58"/>
  <c r="AA135" i="58"/>
  <c r="AC135" i="58"/>
  <c r="L136" i="58"/>
  <c r="G136" i="58" s="1"/>
  <c r="R136" i="58" s="1"/>
  <c r="M136" i="58"/>
  <c r="P136" i="58"/>
  <c r="Q136" i="58"/>
  <c r="L137" i="58"/>
  <c r="U137" i="58" s="1"/>
  <c r="M137" i="58"/>
  <c r="P137" i="58"/>
  <c r="Q137" i="58"/>
  <c r="S137" i="58"/>
  <c r="Z137" i="58"/>
  <c r="AA137" i="58"/>
  <c r="AC137" i="58"/>
  <c r="L138" i="58"/>
  <c r="G138" i="58" s="1"/>
  <c r="R138" i="58" s="1"/>
  <c r="M138" i="58"/>
  <c r="P138" i="58"/>
  <c r="Q138" i="58"/>
  <c r="L139" i="58"/>
  <c r="U139" i="58" s="1"/>
  <c r="M139" i="58"/>
  <c r="P139" i="58"/>
  <c r="Q139" i="58"/>
  <c r="S139" i="58"/>
  <c r="Z139" i="58"/>
  <c r="AA139" i="58"/>
  <c r="AC139" i="58"/>
  <c r="L140" i="58"/>
  <c r="G140" i="58" s="1"/>
  <c r="R140" i="58" s="1"/>
  <c r="M140" i="58"/>
  <c r="P140" i="58"/>
  <c r="Q140" i="58"/>
  <c r="L141" i="58"/>
  <c r="U141" i="58" s="1"/>
  <c r="M141" i="58"/>
  <c r="P141" i="58"/>
  <c r="Q141" i="58"/>
  <c r="S141" i="58"/>
  <c r="Z141" i="58"/>
  <c r="AA141" i="58"/>
  <c r="AC141" i="58"/>
  <c r="L142" i="58"/>
  <c r="G142" i="58" s="1"/>
  <c r="R142" i="58" s="1"/>
  <c r="M142" i="58"/>
  <c r="P142" i="58"/>
  <c r="Q142" i="58"/>
  <c r="L143" i="58"/>
  <c r="G143" i="58" s="1"/>
  <c r="R143" i="58" s="1"/>
  <c r="M143" i="58"/>
  <c r="P143" i="58"/>
  <c r="Q143" i="58"/>
  <c r="S143" i="58"/>
  <c r="Z143" i="58"/>
  <c r="AA143" i="58"/>
  <c r="AC143" i="58"/>
  <c r="AD6" i="61"/>
  <c r="AD7" i="61"/>
  <c r="A8" i="61"/>
  <c r="AC8" i="61"/>
  <c r="AD8" i="61"/>
  <c r="L12" i="61"/>
  <c r="G12" i="61" s="1"/>
  <c r="R12" i="61" s="1"/>
  <c r="M12" i="61"/>
  <c r="P12" i="61"/>
  <c r="Q12" i="61"/>
  <c r="L13" i="61"/>
  <c r="M13" i="61"/>
  <c r="P13" i="61"/>
  <c r="Q13" i="61"/>
  <c r="S13" i="61"/>
  <c r="Z13" i="61"/>
  <c r="AA13" i="61"/>
  <c r="AC13" i="61"/>
  <c r="L14" i="61"/>
  <c r="G14" i="61" s="1"/>
  <c r="R14" i="61" s="1"/>
  <c r="M14" i="61"/>
  <c r="P14" i="61"/>
  <c r="Q14" i="61"/>
  <c r="L15" i="61"/>
  <c r="M15" i="61"/>
  <c r="P15" i="61"/>
  <c r="Q15" i="61"/>
  <c r="S15" i="61"/>
  <c r="Z15" i="61"/>
  <c r="AA15" i="61"/>
  <c r="AC15" i="61"/>
  <c r="L16" i="61"/>
  <c r="G16" i="61" s="1"/>
  <c r="R16" i="61" s="1"/>
  <c r="M16" i="61"/>
  <c r="P16" i="61"/>
  <c r="Q16" i="61"/>
  <c r="L17" i="61"/>
  <c r="M17" i="61"/>
  <c r="P17" i="61"/>
  <c r="Q17" i="61"/>
  <c r="S17" i="61"/>
  <c r="Z17" i="61"/>
  <c r="AA17" i="61"/>
  <c r="AC17" i="61"/>
  <c r="L18" i="61"/>
  <c r="G18" i="61" s="1"/>
  <c r="R18" i="61" s="1"/>
  <c r="M18" i="61"/>
  <c r="P18" i="61"/>
  <c r="Q18" i="61"/>
  <c r="L19" i="61"/>
  <c r="M19" i="61"/>
  <c r="P19" i="61"/>
  <c r="Q19" i="61"/>
  <c r="S19" i="61"/>
  <c r="Z19" i="61"/>
  <c r="AA19" i="61"/>
  <c r="AC19" i="61"/>
  <c r="L20" i="61"/>
  <c r="G20" i="61" s="1"/>
  <c r="R20" i="61" s="1"/>
  <c r="M20" i="61"/>
  <c r="P20" i="61"/>
  <c r="Q20" i="61"/>
  <c r="L21" i="61"/>
  <c r="M21" i="61"/>
  <c r="P21" i="61"/>
  <c r="Q21" i="61"/>
  <c r="S21" i="61"/>
  <c r="X21" i="61"/>
  <c r="AA21" i="61"/>
  <c r="AC21" i="61"/>
  <c r="L22" i="61"/>
  <c r="G22" i="61" s="1"/>
  <c r="R22" i="61" s="1"/>
  <c r="M22" i="61"/>
  <c r="P22" i="61"/>
  <c r="Q22" i="61"/>
  <c r="L23" i="61"/>
  <c r="U23" i="61" s="1"/>
  <c r="M23" i="61"/>
  <c r="P23" i="61"/>
  <c r="Q23" i="61"/>
  <c r="S23" i="61"/>
  <c r="Z23" i="61"/>
  <c r="AA23" i="61"/>
  <c r="AC23" i="61"/>
  <c r="L24" i="61"/>
  <c r="G24" i="61" s="1"/>
  <c r="R24" i="61" s="1"/>
  <c r="M24" i="61"/>
  <c r="P24" i="61"/>
  <c r="Q24" i="61"/>
  <c r="L25" i="61"/>
  <c r="G25" i="61" s="1"/>
  <c r="R25" i="61" s="1"/>
  <c r="M25" i="61"/>
  <c r="P25" i="61"/>
  <c r="Q25" i="61"/>
  <c r="S25" i="61"/>
  <c r="Z25" i="61"/>
  <c r="AA25" i="61"/>
  <c r="AC25" i="61"/>
  <c r="L26" i="61"/>
  <c r="G26" i="61" s="1"/>
  <c r="R26" i="61" s="1"/>
  <c r="M26" i="61"/>
  <c r="P26" i="61"/>
  <c r="Q26" i="61"/>
  <c r="L27" i="61"/>
  <c r="G27" i="61" s="1"/>
  <c r="R27" i="61" s="1"/>
  <c r="M27" i="61"/>
  <c r="P27" i="61"/>
  <c r="Q27" i="61"/>
  <c r="S27" i="61"/>
  <c r="Z27" i="61"/>
  <c r="L28" i="61"/>
  <c r="G28" i="61" s="1"/>
  <c r="R28" i="61" s="1"/>
  <c r="M28" i="61"/>
  <c r="P28" i="61"/>
  <c r="Q28" i="61"/>
  <c r="L29" i="61"/>
  <c r="U29" i="61" s="1"/>
  <c r="AB29" i="61" s="1"/>
  <c r="U28" i="61" s="1"/>
  <c r="M29" i="61"/>
  <c r="P29" i="61"/>
  <c r="Q29" i="61"/>
  <c r="S29" i="61"/>
  <c r="Z29" i="61"/>
  <c r="AA29" i="61"/>
  <c r="AC29" i="61"/>
  <c r="L30" i="61"/>
  <c r="G30" i="61" s="1"/>
  <c r="R30" i="61" s="1"/>
  <c r="M30" i="61"/>
  <c r="P30" i="61"/>
  <c r="Q30" i="61"/>
  <c r="L31" i="61"/>
  <c r="M31" i="61"/>
  <c r="P31" i="61"/>
  <c r="Q31" i="61"/>
  <c r="S31" i="61"/>
  <c r="Z31" i="61"/>
  <c r="AA31" i="61"/>
  <c r="AC31" i="61"/>
  <c r="L32" i="61"/>
  <c r="G32" i="61" s="1"/>
  <c r="R32" i="61" s="1"/>
  <c r="M32" i="61"/>
  <c r="P32" i="61"/>
  <c r="Q32" i="61"/>
  <c r="L33" i="61"/>
  <c r="M33" i="61"/>
  <c r="P33" i="61"/>
  <c r="Q33" i="61"/>
  <c r="S33" i="61"/>
  <c r="Z33" i="61"/>
  <c r="AA33" i="61"/>
  <c r="AC33" i="61"/>
  <c r="L34" i="61"/>
  <c r="G34" i="61" s="1"/>
  <c r="R34" i="61" s="1"/>
  <c r="M34" i="61"/>
  <c r="P34" i="61"/>
  <c r="Q34" i="61"/>
  <c r="L35" i="61"/>
  <c r="M35" i="61"/>
  <c r="P35" i="61"/>
  <c r="Q35" i="61"/>
  <c r="S35" i="61"/>
  <c r="X35" i="61"/>
  <c r="AA35" i="61"/>
  <c r="AC35" i="61"/>
  <c r="L36" i="61"/>
  <c r="G36" i="61" s="1"/>
  <c r="R36" i="61" s="1"/>
  <c r="M36" i="61"/>
  <c r="P36" i="61"/>
  <c r="Q36" i="61"/>
  <c r="L37" i="61"/>
  <c r="U37" i="61" s="1"/>
  <c r="M37" i="61"/>
  <c r="P37" i="61"/>
  <c r="Q37" i="61"/>
  <c r="S37" i="61"/>
  <c r="Z37" i="61"/>
  <c r="AA37" i="61"/>
  <c r="AC37" i="61"/>
  <c r="L38" i="61"/>
  <c r="G38" i="61" s="1"/>
  <c r="R38" i="61" s="1"/>
  <c r="M38" i="61"/>
  <c r="P38" i="61"/>
  <c r="Q38" i="61"/>
  <c r="L39" i="61"/>
  <c r="U39" i="61" s="1"/>
  <c r="M39" i="61"/>
  <c r="P39" i="61"/>
  <c r="Q39" i="61"/>
  <c r="S39" i="61"/>
  <c r="Z39" i="61"/>
  <c r="AA39" i="61"/>
  <c r="AC39" i="61"/>
  <c r="L40" i="61"/>
  <c r="G40" i="61" s="1"/>
  <c r="R40" i="61" s="1"/>
  <c r="M40" i="61"/>
  <c r="P40" i="61"/>
  <c r="Q40" i="61"/>
  <c r="L41" i="61"/>
  <c r="G41" i="61" s="1"/>
  <c r="R41" i="61" s="1"/>
  <c r="M41" i="61"/>
  <c r="P41" i="61"/>
  <c r="Q41" i="61"/>
  <c r="S41" i="61"/>
  <c r="Z41" i="61"/>
  <c r="L42" i="61"/>
  <c r="G42" i="61" s="1"/>
  <c r="R42" i="61" s="1"/>
  <c r="M42" i="61"/>
  <c r="P42" i="61"/>
  <c r="Q42" i="61"/>
  <c r="L43" i="61"/>
  <c r="U43" i="61" s="1"/>
  <c r="M43" i="61"/>
  <c r="P43" i="61"/>
  <c r="Q43" i="61"/>
  <c r="S43" i="61"/>
  <c r="Z43" i="61"/>
  <c r="AA43" i="61"/>
  <c r="AC43" i="61"/>
  <c r="L44" i="61"/>
  <c r="G44" i="61" s="1"/>
  <c r="R44" i="61" s="1"/>
  <c r="M44" i="61"/>
  <c r="P44" i="61"/>
  <c r="Q44" i="61"/>
  <c r="L45" i="61"/>
  <c r="M45" i="61"/>
  <c r="P45" i="61"/>
  <c r="Q45" i="61"/>
  <c r="S45" i="61"/>
  <c r="Z45" i="61"/>
  <c r="AA45" i="61"/>
  <c r="AC45" i="61"/>
  <c r="L46" i="61"/>
  <c r="G46" i="61" s="1"/>
  <c r="R46" i="61" s="1"/>
  <c r="M46" i="61"/>
  <c r="P46" i="61"/>
  <c r="Q46" i="61"/>
  <c r="L47" i="61"/>
  <c r="M47" i="61"/>
  <c r="P47" i="61"/>
  <c r="Q47" i="61"/>
  <c r="S47" i="61"/>
  <c r="Z47" i="61"/>
  <c r="AA47" i="61"/>
  <c r="AC47" i="61"/>
  <c r="L48" i="61"/>
  <c r="G48" i="61" s="1"/>
  <c r="R48" i="61" s="1"/>
  <c r="M48" i="61"/>
  <c r="P48" i="61"/>
  <c r="Q48" i="61"/>
  <c r="L49" i="61"/>
  <c r="M49" i="61"/>
  <c r="P49" i="61"/>
  <c r="Q49" i="61"/>
  <c r="S49" i="61"/>
  <c r="X49" i="61"/>
  <c r="AA49" i="61"/>
  <c r="AC49" i="61"/>
  <c r="L50" i="61"/>
  <c r="G50" i="61" s="1"/>
  <c r="R50" i="61" s="1"/>
  <c r="M50" i="61"/>
  <c r="P50" i="61"/>
  <c r="Q50" i="61"/>
  <c r="L51" i="61"/>
  <c r="G51" i="61" s="1"/>
  <c r="R51" i="61" s="1"/>
  <c r="M51" i="61"/>
  <c r="P51" i="61"/>
  <c r="Q51" i="61"/>
  <c r="S51" i="61"/>
  <c r="Z51" i="61"/>
  <c r="AA51" i="61"/>
  <c r="AC51" i="61"/>
  <c r="L52" i="61"/>
  <c r="G52" i="61" s="1"/>
  <c r="R52" i="61" s="1"/>
  <c r="M52" i="61"/>
  <c r="P52" i="61"/>
  <c r="Q52" i="61"/>
  <c r="L53" i="61"/>
  <c r="M53" i="61"/>
  <c r="P53" i="61"/>
  <c r="Q53" i="61"/>
  <c r="S53" i="61"/>
  <c r="Z53" i="61"/>
  <c r="AA53" i="61"/>
  <c r="AC53" i="61"/>
  <c r="L54" i="61"/>
  <c r="G54" i="61" s="1"/>
  <c r="R54" i="61" s="1"/>
  <c r="M54" i="61"/>
  <c r="P54" i="61"/>
  <c r="Q54" i="61"/>
  <c r="L55" i="61"/>
  <c r="G55" i="61" s="1"/>
  <c r="R55" i="61" s="1"/>
  <c r="M55" i="61"/>
  <c r="P55" i="61"/>
  <c r="Q55" i="61"/>
  <c r="S55" i="61"/>
  <c r="Z55" i="61"/>
  <c r="AA55" i="61"/>
  <c r="AC55" i="61"/>
  <c r="L56" i="61"/>
  <c r="G56" i="61" s="1"/>
  <c r="R56" i="61" s="1"/>
  <c r="M56" i="61"/>
  <c r="P56" i="61"/>
  <c r="Q56" i="61"/>
  <c r="L57" i="61"/>
  <c r="G57" i="61" s="1"/>
  <c r="R57" i="61" s="1"/>
  <c r="M57" i="61"/>
  <c r="P57" i="61"/>
  <c r="Q57" i="61"/>
  <c r="S57" i="61"/>
  <c r="Z57" i="61"/>
  <c r="AA57" i="61"/>
  <c r="AC57" i="61"/>
  <c r="L58" i="61"/>
  <c r="G58" i="61" s="1"/>
  <c r="R58" i="61" s="1"/>
  <c r="M58" i="61"/>
  <c r="P58" i="61"/>
  <c r="Q58" i="61"/>
  <c r="L59" i="61"/>
  <c r="G59" i="61" s="1"/>
  <c r="R59" i="61" s="1"/>
  <c r="M59" i="61"/>
  <c r="P59" i="61"/>
  <c r="Q59" i="61"/>
  <c r="S59" i="61"/>
  <c r="Z59" i="61"/>
  <c r="L60" i="61"/>
  <c r="G60" i="61" s="1"/>
  <c r="R60" i="61" s="1"/>
  <c r="M60" i="61"/>
  <c r="P60" i="61"/>
  <c r="Q60" i="61"/>
  <c r="L61" i="61"/>
  <c r="M61" i="61"/>
  <c r="P61" i="61"/>
  <c r="Q61" i="61"/>
  <c r="S61" i="61"/>
  <c r="Z61" i="61"/>
  <c r="AA61" i="61"/>
  <c r="AC61" i="61"/>
  <c r="L62" i="61"/>
  <c r="G62" i="61" s="1"/>
  <c r="R62" i="61" s="1"/>
  <c r="M62" i="61"/>
  <c r="P62" i="61"/>
  <c r="Q62" i="61"/>
  <c r="L63" i="61"/>
  <c r="U63" i="61" s="1"/>
  <c r="M63" i="61"/>
  <c r="P63" i="61"/>
  <c r="Q63" i="61"/>
  <c r="S63" i="61"/>
  <c r="Z63" i="61"/>
  <c r="AA63" i="61"/>
  <c r="AC63" i="61"/>
  <c r="L64" i="61"/>
  <c r="G64" i="61" s="1"/>
  <c r="R64" i="61" s="1"/>
  <c r="M64" i="61"/>
  <c r="P64" i="61"/>
  <c r="Q64" i="61"/>
  <c r="L65" i="61"/>
  <c r="G65" i="61" s="1"/>
  <c r="R65" i="61" s="1"/>
  <c r="M65" i="61"/>
  <c r="P65" i="61"/>
  <c r="Q65" i="61"/>
  <c r="S65" i="61"/>
  <c r="Z65" i="61"/>
  <c r="L66" i="61"/>
  <c r="G66" i="61" s="1"/>
  <c r="R66" i="61" s="1"/>
  <c r="M66" i="61"/>
  <c r="P66" i="61"/>
  <c r="Q66" i="61"/>
  <c r="L67" i="61"/>
  <c r="G67" i="61" s="1"/>
  <c r="R67" i="61" s="1"/>
  <c r="M67" i="61"/>
  <c r="P67" i="61"/>
  <c r="Q67" i="61"/>
  <c r="S67" i="61"/>
  <c r="Z67" i="61"/>
  <c r="AA67" i="61"/>
  <c r="AC67" i="61"/>
  <c r="L68" i="61"/>
  <c r="G68" i="61" s="1"/>
  <c r="R68" i="61" s="1"/>
  <c r="M68" i="61"/>
  <c r="P68" i="61"/>
  <c r="Q68" i="61"/>
  <c r="L69" i="61"/>
  <c r="G69" i="61" s="1"/>
  <c r="R69" i="61" s="1"/>
  <c r="M69" i="61"/>
  <c r="P69" i="61"/>
  <c r="Q69" i="61"/>
  <c r="S69" i="61"/>
  <c r="Z69" i="61"/>
  <c r="L70" i="61"/>
  <c r="G70" i="61" s="1"/>
  <c r="R70" i="61" s="1"/>
  <c r="M70" i="61"/>
  <c r="P70" i="61"/>
  <c r="Q70" i="61"/>
  <c r="L71" i="61"/>
  <c r="G71" i="61" s="1"/>
  <c r="R71" i="61" s="1"/>
  <c r="M71" i="61"/>
  <c r="P71" i="61"/>
  <c r="Q71" i="61"/>
  <c r="S71" i="61"/>
  <c r="Z71" i="61"/>
  <c r="L72" i="61"/>
  <c r="G72" i="61" s="1"/>
  <c r="R72" i="61" s="1"/>
  <c r="M72" i="61"/>
  <c r="P72" i="61"/>
  <c r="Q72" i="61"/>
  <c r="L73" i="61"/>
  <c r="G73" i="61" s="1"/>
  <c r="R73" i="61" s="1"/>
  <c r="M73" i="61"/>
  <c r="P73" i="61"/>
  <c r="Q73" i="61"/>
  <c r="S73" i="61"/>
  <c r="Z73" i="61"/>
  <c r="AA73" i="61"/>
  <c r="AC73" i="61"/>
  <c r="A74" i="61"/>
  <c r="U74" i="61"/>
  <c r="L78" i="61"/>
  <c r="G78" i="61" s="1"/>
  <c r="R78" i="61" s="1"/>
  <c r="M78" i="61"/>
  <c r="P78" i="61"/>
  <c r="Q78" i="61"/>
  <c r="L79" i="61"/>
  <c r="U79" i="61" s="1"/>
  <c r="M79" i="61"/>
  <c r="P79" i="61"/>
  <c r="Q79" i="61"/>
  <c r="S79" i="61"/>
  <c r="Z79" i="61"/>
  <c r="AA79" i="61"/>
  <c r="AC79" i="61"/>
  <c r="L80" i="61"/>
  <c r="G80" i="61" s="1"/>
  <c r="R80" i="61" s="1"/>
  <c r="M80" i="61"/>
  <c r="P80" i="61"/>
  <c r="Q80" i="61"/>
  <c r="L81" i="61"/>
  <c r="U81" i="61" s="1"/>
  <c r="M81" i="61"/>
  <c r="P81" i="61"/>
  <c r="Q81" i="61"/>
  <c r="S81" i="61"/>
  <c r="Z81" i="61"/>
  <c r="AA81" i="61"/>
  <c r="AC81" i="61"/>
  <c r="L82" i="61"/>
  <c r="G82" i="61" s="1"/>
  <c r="R82" i="61" s="1"/>
  <c r="M82" i="61"/>
  <c r="P82" i="61"/>
  <c r="Q82" i="61"/>
  <c r="L83" i="61"/>
  <c r="G83" i="61" s="1"/>
  <c r="R83" i="61" s="1"/>
  <c r="M83" i="61"/>
  <c r="P83" i="61"/>
  <c r="Q83" i="61"/>
  <c r="S83" i="61"/>
  <c r="Z83" i="61"/>
  <c r="AA83" i="61"/>
  <c r="AC83" i="61"/>
  <c r="L84" i="61"/>
  <c r="G84" i="61" s="1"/>
  <c r="R84" i="61" s="1"/>
  <c r="M84" i="61"/>
  <c r="P84" i="61"/>
  <c r="Q84" i="61"/>
  <c r="L85" i="61"/>
  <c r="G85" i="61" s="1"/>
  <c r="R85" i="61" s="1"/>
  <c r="M85" i="61"/>
  <c r="P85" i="61"/>
  <c r="Q85" i="61"/>
  <c r="S85" i="61"/>
  <c r="Z85" i="61"/>
  <c r="AA85" i="61"/>
  <c r="AC85" i="61"/>
  <c r="L86" i="61"/>
  <c r="G86" i="61" s="1"/>
  <c r="R86" i="61" s="1"/>
  <c r="M86" i="61"/>
  <c r="P86" i="61"/>
  <c r="Q86" i="61"/>
  <c r="L87" i="61"/>
  <c r="G87" i="61" s="1"/>
  <c r="R87" i="61" s="1"/>
  <c r="M87" i="61"/>
  <c r="P87" i="61"/>
  <c r="Q87" i="61"/>
  <c r="S87" i="61"/>
  <c r="Z87" i="61"/>
  <c r="AA87" i="61"/>
  <c r="AC87" i="61"/>
  <c r="L88" i="61"/>
  <c r="G88" i="61" s="1"/>
  <c r="R88" i="61" s="1"/>
  <c r="M88" i="61"/>
  <c r="P88" i="61"/>
  <c r="Q88" i="61"/>
  <c r="L89" i="61"/>
  <c r="G89" i="61" s="1"/>
  <c r="R89" i="61" s="1"/>
  <c r="M89" i="61"/>
  <c r="P89" i="61"/>
  <c r="Q89" i="61"/>
  <c r="S89" i="61"/>
  <c r="Z89" i="61"/>
  <c r="AA89" i="61"/>
  <c r="AC89" i="61"/>
  <c r="L90" i="61"/>
  <c r="G90" i="61" s="1"/>
  <c r="R90" i="61" s="1"/>
  <c r="M90" i="61"/>
  <c r="P90" i="61"/>
  <c r="Q90" i="61"/>
  <c r="L91" i="61"/>
  <c r="U91" i="61" s="1"/>
  <c r="M91" i="61"/>
  <c r="P91" i="61"/>
  <c r="Q91" i="61"/>
  <c r="S91" i="61"/>
  <c r="Z91" i="61"/>
  <c r="AA91" i="61"/>
  <c r="AC91" i="61"/>
  <c r="L92" i="61"/>
  <c r="G92" i="61" s="1"/>
  <c r="R92" i="61" s="1"/>
  <c r="M92" i="61"/>
  <c r="P92" i="61"/>
  <c r="Q92" i="61"/>
  <c r="L93" i="61"/>
  <c r="U93" i="61" s="1"/>
  <c r="M93" i="61"/>
  <c r="P93" i="61"/>
  <c r="Q93" i="61"/>
  <c r="S93" i="61"/>
  <c r="Z93" i="61"/>
  <c r="AA93" i="61"/>
  <c r="AC93" i="61"/>
  <c r="L94" i="61"/>
  <c r="G94" i="61" s="1"/>
  <c r="R94" i="61" s="1"/>
  <c r="M94" i="61"/>
  <c r="P94" i="61"/>
  <c r="Q94" i="61"/>
  <c r="L95" i="61"/>
  <c r="U95" i="61" s="1"/>
  <c r="M95" i="61"/>
  <c r="P95" i="61"/>
  <c r="Q95" i="61"/>
  <c r="S95" i="61"/>
  <c r="Z95" i="61"/>
  <c r="AA95" i="61"/>
  <c r="AC95" i="61"/>
  <c r="L96" i="61"/>
  <c r="G96" i="61" s="1"/>
  <c r="R96" i="61" s="1"/>
  <c r="M96" i="61"/>
  <c r="P96" i="61"/>
  <c r="Q96" i="61"/>
  <c r="L97" i="61"/>
  <c r="U97" i="61" s="1"/>
  <c r="M97" i="61"/>
  <c r="P97" i="61"/>
  <c r="Q97" i="61"/>
  <c r="S97" i="61"/>
  <c r="Z97" i="61"/>
  <c r="AA97" i="61"/>
  <c r="AC97" i="61"/>
  <c r="L98" i="61"/>
  <c r="G98" i="61" s="1"/>
  <c r="R98" i="61" s="1"/>
  <c r="M98" i="61"/>
  <c r="P98" i="61"/>
  <c r="Q98" i="61"/>
  <c r="L99" i="61"/>
  <c r="U99" i="61" s="1"/>
  <c r="M99" i="61"/>
  <c r="P99" i="61"/>
  <c r="Q99" i="61"/>
  <c r="S99" i="61"/>
  <c r="Z99" i="61"/>
  <c r="AA99" i="61"/>
  <c r="AC99" i="61"/>
  <c r="L100" i="61"/>
  <c r="G100" i="61" s="1"/>
  <c r="R100" i="61" s="1"/>
  <c r="M100" i="61"/>
  <c r="P100" i="61"/>
  <c r="Q100" i="61"/>
  <c r="L101" i="61"/>
  <c r="G101" i="61" s="1"/>
  <c r="R101" i="61" s="1"/>
  <c r="M101" i="61"/>
  <c r="P101" i="61"/>
  <c r="Q101" i="61"/>
  <c r="S101" i="61"/>
  <c r="Z101" i="61"/>
  <c r="AA101" i="61"/>
  <c r="AC101" i="61"/>
  <c r="L102" i="61"/>
  <c r="G102" i="61" s="1"/>
  <c r="R102" i="61" s="1"/>
  <c r="M102" i="61"/>
  <c r="P102" i="61"/>
  <c r="Q102" i="61"/>
  <c r="L103" i="61"/>
  <c r="U103" i="61" s="1"/>
  <c r="M103" i="61"/>
  <c r="P103" i="61"/>
  <c r="Q103" i="61"/>
  <c r="S103" i="61"/>
  <c r="Z103" i="61"/>
  <c r="AA103" i="61"/>
  <c r="AC103" i="61"/>
  <c r="L104" i="61"/>
  <c r="G104" i="61" s="1"/>
  <c r="R104" i="61" s="1"/>
  <c r="M104" i="61"/>
  <c r="P104" i="61"/>
  <c r="Q104" i="61"/>
  <c r="L105" i="61"/>
  <c r="G105" i="61" s="1"/>
  <c r="R105" i="61" s="1"/>
  <c r="M105" i="61"/>
  <c r="P105" i="61"/>
  <c r="Q105" i="61"/>
  <c r="S105" i="61"/>
  <c r="Z105" i="61"/>
  <c r="AA105" i="61"/>
  <c r="AC105" i="61"/>
  <c r="L106" i="61"/>
  <c r="G106" i="61" s="1"/>
  <c r="R106" i="61" s="1"/>
  <c r="M106" i="61"/>
  <c r="P106" i="61"/>
  <c r="Q106" i="61"/>
  <c r="L107" i="61"/>
  <c r="U107" i="61" s="1"/>
  <c r="M107" i="61"/>
  <c r="P107" i="61"/>
  <c r="Q107" i="61"/>
  <c r="S107" i="61"/>
  <c r="Z107" i="61"/>
  <c r="AA107" i="61"/>
  <c r="AC107" i="61"/>
  <c r="L108" i="61"/>
  <c r="G108" i="61" s="1"/>
  <c r="R108" i="61" s="1"/>
  <c r="M108" i="61"/>
  <c r="P108" i="61"/>
  <c r="Q108" i="61"/>
  <c r="L109" i="61"/>
  <c r="G109" i="61" s="1"/>
  <c r="R109" i="61" s="1"/>
  <c r="M109" i="61"/>
  <c r="P109" i="61"/>
  <c r="Q109" i="61"/>
  <c r="S109" i="61"/>
  <c r="Z109" i="61"/>
  <c r="AA109" i="61"/>
  <c r="AC109" i="61"/>
  <c r="L110" i="61"/>
  <c r="G110" i="61" s="1"/>
  <c r="R110" i="61" s="1"/>
  <c r="M110" i="61"/>
  <c r="P110" i="61"/>
  <c r="Q110" i="61"/>
  <c r="L111" i="61"/>
  <c r="U111" i="61" s="1"/>
  <c r="M111" i="61"/>
  <c r="P111" i="61"/>
  <c r="Q111" i="61"/>
  <c r="S111" i="61"/>
  <c r="Z111" i="61"/>
  <c r="AA111" i="61"/>
  <c r="AC111" i="61"/>
  <c r="L112" i="61"/>
  <c r="G112" i="61" s="1"/>
  <c r="R112" i="61" s="1"/>
  <c r="M112" i="61"/>
  <c r="P112" i="61"/>
  <c r="Q112" i="61"/>
  <c r="L113" i="61"/>
  <c r="U113" i="61" s="1"/>
  <c r="M113" i="61"/>
  <c r="P113" i="61"/>
  <c r="Q113" i="61"/>
  <c r="S113" i="61"/>
  <c r="Z113" i="61"/>
  <c r="AA113" i="61"/>
  <c r="AC113" i="61"/>
  <c r="L114" i="61"/>
  <c r="G114" i="61" s="1"/>
  <c r="R114" i="61" s="1"/>
  <c r="M114" i="61"/>
  <c r="P114" i="61"/>
  <c r="Q114" i="61"/>
  <c r="L115" i="61"/>
  <c r="U115" i="61" s="1"/>
  <c r="M115" i="61"/>
  <c r="P115" i="61"/>
  <c r="Q115" i="61"/>
  <c r="S115" i="61"/>
  <c r="Z115" i="61"/>
  <c r="AA115" i="61"/>
  <c r="AC115" i="61"/>
  <c r="L116" i="61"/>
  <c r="G116" i="61" s="1"/>
  <c r="R116" i="61" s="1"/>
  <c r="M116" i="61"/>
  <c r="P116" i="61"/>
  <c r="Q116" i="61"/>
  <c r="L117" i="61"/>
  <c r="G117" i="61" s="1"/>
  <c r="R117" i="61" s="1"/>
  <c r="M117" i="61"/>
  <c r="P117" i="61"/>
  <c r="Q117" i="61"/>
  <c r="S117" i="61"/>
  <c r="Z117" i="61"/>
  <c r="AA117" i="61"/>
  <c r="AC117" i="61"/>
  <c r="L118" i="61"/>
  <c r="G118" i="61" s="1"/>
  <c r="R118" i="61" s="1"/>
  <c r="M118" i="61"/>
  <c r="P118" i="61"/>
  <c r="Q118" i="61"/>
  <c r="L119" i="61"/>
  <c r="G119" i="61" s="1"/>
  <c r="R119" i="61" s="1"/>
  <c r="M119" i="61"/>
  <c r="P119" i="61"/>
  <c r="Q119" i="61"/>
  <c r="S119" i="61"/>
  <c r="Z119" i="61"/>
  <c r="AA119" i="61"/>
  <c r="AC119" i="61"/>
  <c r="L120" i="61"/>
  <c r="G120" i="61" s="1"/>
  <c r="R120" i="61" s="1"/>
  <c r="M120" i="61"/>
  <c r="P120" i="61"/>
  <c r="Q120" i="61"/>
  <c r="L121" i="61"/>
  <c r="U121" i="61" s="1"/>
  <c r="M121" i="61"/>
  <c r="P121" i="61"/>
  <c r="Q121" i="61"/>
  <c r="S121" i="61"/>
  <c r="Z121" i="61"/>
  <c r="AA121" i="61"/>
  <c r="AC121" i="61"/>
  <c r="L122" i="61"/>
  <c r="G122" i="61" s="1"/>
  <c r="R122" i="61" s="1"/>
  <c r="M122" i="61"/>
  <c r="P122" i="61"/>
  <c r="Q122" i="61"/>
  <c r="L123" i="61"/>
  <c r="U123" i="61" s="1"/>
  <c r="M123" i="61"/>
  <c r="P123" i="61"/>
  <c r="Q123" i="61"/>
  <c r="S123" i="61"/>
  <c r="Z123" i="61"/>
  <c r="AA123" i="61"/>
  <c r="AC123" i="61"/>
  <c r="L124" i="61"/>
  <c r="G124" i="61" s="1"/>
  <c r="R124" i="61" s="1"/>
  <c r="M124" i="61"/>
  <c r="P124" i="61"/>
  <c r="Q124" i="61"/>
  <c r="L125" i="61"/>
  <c r="U125" i="61" s="1"/>
  <c r="M125" i="61"/>
  <c r="P125" i="61"/>
  <c r="Q125" i="61"/>
  <c r="S125" i="61"/>
  <c r="Z125" i="61"/>
  <c r="AA125" i="61"/>
  <c r="AC125" i="61"/>
  <c r="L126" i="61"/>
  <c r="G126" i="61" s="1"/>
  <c r="R126" i="61" s="1"/>
  <c r="M126" i="61"/>
  <c r="P126" i="61"/>
  <c r="Q126" i="61"/>
  <c r="L127" i="61"/>
  <c r="U127" i="61" s="1"/>
  <c r="M127" i="61"/>
  <c r="P127" i="61"/>
  <c r="Q127" i="61"/>
  <c r="S127" i="61"/>
  <c r="Z127" i="61"/>
  <c r="AA127" i="61"/>
  <c r="AC127" i="61"/>
  <c r="L128" i="61"/>
  <c r="G128" i="61" s="1"/>
  <c r="R128" i="61" s="1"/>
  <c r="M128" i="61"/>
  <c r="P128" i="61"/>
  <c r="Q128" i="61"/>
  <c r="L129" i="61"/>
  <c r="G129" i="61" s="1"/>
  <c r="R129" i="61" s="1"/>
  <c r="M129" i="61"/>
  <c r="P129" i="61"/>
  <c r="Q129" i="61"/>
  <c r="S129" i="61"/>
  <c r="Z129" i="61"/>
  <c r="AA129" i="61"/>
  <c r="AC129" i="61"/>
  <c r="L130" i="61"/>
  <c r="G130" i="61" s="1"/>
  <c r="R130" i="61" s="1"/>
  <c r="M130" i="61"/>
  <c r="P130" i="61"/>
  <c r="Q130" i="61"/>
  <c r="L131" i="61"/>
  <c r="U131" i="61" s="1"/>
  <c r="M131" i="61"/>
  <c r="P131" i="61"/>
  <c r="Q131" i="61"/>
  <c r="S131" i="61"/>
  <c r="Z131" i="61"/>
  <c r="AA131" i="61"/>
  <c r="AC131" i="61"/>
  <c r="L132" i="61"/>
  <c r="G132" i="61" s="1"/>
  <c r="R132" i="61" s="1"/>
  <c r="M132" i="61"/>
  <c r="P132" i="61"/>
  <c r="Q132" i="61"/>
  <c r="L133" i="61"/>
  <c r="U133" i="61" s="1"/>
  <c r="M133" i="61"/>
  <c r="P133" i="61"/>
  <c r="Q133" i="61"/>
  <c r="S133" i="61"/>
  <c r="Z133" i="61"/>
  <c r="AA133" i="61"/>
  <c r="AC133" i="61"/>
  <c r="L134" i="61"/>
  <c r="G134" i="61" s="1"/>
  <c r="R134" i="61" s="1"/>
  <c r="M134" i="61"/>
  <c r="P134" i="61"/>
  <c r="Q134" i="61"/>
  <c r="L135" i="61"/>
  <c r="U135" i="61" s="1"/>
  <c r="M135" i="61"/>
  <c r="P135" i="61"/>
  <c r="Q135" i="61"/>
  <c r="S135" i="61"/>
  <c r="Z135" i="61"/>
  <c r="AA135" i="61"/>
  <c r="AC135" i="61"/>
  <c r="L136" i="61"/>
  <c r="G136" i="61" s="1"/>
  <c r="R136" i="61" s="1"/>
  <c r="M136" i="61"/>
  <c r="P136" i="61"/>
  <c r="Q136" i="61"/>
  <c r="L137" i="61"/>
  <c r="G137" i="61" s="1"/>
  <c r="R137" i="61" s="1"/>
  <c r="M137" i="61"/>
  <c r="P137" i="61"/>
  <c r="Q137" i="61"/>
  <c r="S137" i="61"/>
  <c r="Z137" i="61"/>
  <c r="AA137" i="61"/>
  <c r="AC137" i="61"/>
  <c r="L138" i="61"/>
  <c r="G138" i="61" s="1"/>
  <c r="R138" i="61" s="1"/>
  <c r="M138" i="61"/>
  <c r="P138" i="61"/>
  <c r="Q138" i="61"/>
  <c r="L139" i="61"/>
  <c r="G139" i="61" s="1"/>
  <c r="R139" i="61" s="1"/>
  <c r="M139" i="61"/>
  <c r="P139" i="61"/>
  <c r="Q139" i="61"/>
  <c r="S139" i="61"/>
  <c r="Z139" i="61"/>
  <c r="AA139" i="61"/>
  <c r="AC139" i="61"/>
  <c r="L140" i="61"/>
  <c r="G140" i="61" s="1"/>
  <c r="R140" i="61" s="1"/>
  <c r="M140" i="61"/>
  <c r="P140" i="61"/>
  <c r="Q140" i="61"/>
  <c r="L141" i="61"/>
  <c r="U141" i="61" s="1"/>
  <c r="M141" i="61"/>
  <c r="P141" i="61"/>
  <c r="Q141" i="61"/>
  <c r="S141" i="61"/>
  <c r="Z141" i="61"/>
  <c r="AA141" i="61"/>
  <c r="AC141" i="61"/>
  <c r="L142" i="61"/>
  <c r="G142" i="61" s="1"/>
  <c r="R142" i="61" s="1"/>
  <c r="M142" i="61"/>
  <c r="P142" i="61"/>
  <c r="Q142" i="61"/>
  <c r="L143" i="61"/>
  <c r="U143" i="61" s="1"/>
  <c r="M143" i="61"/>
  <c r="P143" i="61"/>
  <c r="Q143" i="61"/>
  <c r="S143" i="61"/>
  <c r="Z143" i="61"/>
  <c r="AA143" i="61"/>
  <c r="AC143" i="61"/>
  <c r="AD6" i="62"/>
  <c r="AD7" i="62"/>
  <c r="A8" i="62"/>
  <c r="AC8" i="62"/>
  <c r="AD8" i="62"/>
  <c r="Z10" i="62"/>
  <c r="L12" i="62"/>
  <c r="G12" i="62" s="1"/>
  <c r="R12" i="62" s="1"/>
  <c r="M12" i="62"/>
  <c r="P12" i="62"/>
  <c r="Q12" i="62"/>
  <c r="L13" i="62"/>
  <c r="M13" i="62"/>
  <c r="P13" i="62"/>
  <c r="Q13" i="62"/>
  <c r="S13" i="62"/>
  <c r="Z13" i="62"/>
  <c r="AA13" i="62"/>
  <c r="AC13" i="62"/>
  <c r="L14" i="62"/>
  <c r="G14" i="62" s="1"/>
  <c r="R14" i="62" s="1"/>
  <c r="M14" i="62"/>
  <c r="P14" i="62"/>
  <c r="Q14" i="62"/>
  <c r="L15" i="62"/>
  <c r="G15" i="62" s="1"/>
  <c r="R15" i="62" s="1"/>
  <c r="M15" i="62"/>
  <c r="P15" i="62"/>
  <c r="Q15" i="62"/>
  <c r="S15" i="62"/>
  <c r="Z15" i="62"/>
  <c r="AA15" i="62"/>
  <c r="AC15" i="62"/>
  <c r="L16" i="62"/>
  <c r="G16" i="62" s="1"/>
  <c r="R16" i="62" s="1"/>
  <c r="M16" i="62"/>
  <c r="P16" i="62"/>
  <c r="Q16" i="62"/>
  <c r="W16" i="62"/>
  <c r="L17" i="62"/>
  <c r="G17" i="62" s="1"/>
  <c r="R17" i="62" s="1"/>
  <c r="M17" i="62"/>
  <c r="P17" i="62"/>
  <c r="Q17" i="62"/>
  <c r="S17" i="62"/>
  <c r="Z17" i="62"/>
  <c r="AA17" i="62"/>
  <c r="AC17" i="62"/>
  <c r="L18" i="62"/>
  <c r="G18" i="62" s="1"/>
  <c r="R18" i="62" s="1"/>
  <c r="M18" i="62"/>
  <c r="P18" i="62"/>
  <c r="Q18" i="62"/>
  <c r="L19" i="62"/>
  <c r="G19" i="62" s="1"/>
  <c r="R19" i="62" s="1"/>
  <c r="M19" i="62"/>
  <c r="P19" i="62"/>
  <c r="Q19" i="62"/>
  <c r="S19" i="62"/>
  <c r="Z19" i="62"/>
  <c r="L20" i="62"/>
  <c r="G20" i="62" s="1"/>
  <c r="R20" i="62" s="1"/>
  <c r="M20" i="62"/>
  <c r="P20" i="62"/>
  <c r="Q20" i="62"/>
  <c r="L21" i="62"/>
  <c r="M21" i="62"/>
  <c r="P21" i="62"/>
  <c r="Q21" i="62"/>
  <c r="S21" i="62"/>
  <c r="W21" i="62"/>
  <c r="Z21" i="62"/>
  <c r="Y23" i="62"/>
  <c r="AA21" i="62"/>
  <c r="AC21" i="62"/>
  <c r="L22" i="62"/>
  <c r="G22" i="62" s="1"/>
  <c r="R22" i="62" s="1"/>
  <c r="M22" i="62"/>
  <c r="P22" i="62"/>
  <c r="Q22" i="62"/>
  <c r="L23" i="62"/>
  <c r="M23" i="62"/>
  <c r="P23" i="62"/>
  <c r="Q23" i="62"/>
  <c r="S23" i="62"/>
  <c r="X23" i="62"/>
  <c r="AA23" i="62"/>
  <c r="AC23" i="62"/>
  <c r="L24" i="62"/>
  <c r="G24" i="62" s="1"/>
  <c r="R24" i="62" s="1"/>
  <c r="M24" i="62"/>
  <c r="P24" i="62"/>
  <c r="Q24" i="62"/>
  <c r="L25" i="62"/>
  <c r="M25" i="62"/>
  <c r="P25" i="62"/>
  <c r="Q25" i="62"/>
  <c r="S25" i="62"/>
  <c r="W25" i="62"/>
  <c r="Z25" i="62"/>
  <c r="Y27" i="62"/>
  <c r="AA25" i="62"/>
  <c r="AC25" i="62"/>
  <c r="L26" i="62"/>
  <c r="G26" i="62" s="1"/>
  <c r="R26" i="62" s="1"/>
  <c r="M26" i="62"/>
  <c r="P26" i="62"/>
  <c r="Q26" i="62"/>
  <c r="L27" i="62"/>
  <c r="M27" i="62"/>
  <c r="P27" i="62"/>
  <c r="Q27" i="62"/>
  <c r="S27" i="62"/>
  <c r="X27" i="62"/>
  <c r="AA27" i="62"/>
  <c r="AC27" i="62"/>
  <c r="L28" i="62"/>
  <c r="G28" i="62" s="1"/>
  <c r="R28" i="62" s="1"/>
  <c r="M28" i="62"/>
  <c r="P28" i="62"/>
  <c r="Q28" i="62"/>
  <c r="L29" i="62"/>
  <c r="U29" i="62" s="1"/>
  <c r="M29" i="62"/>
  <c r="P29" i="62"/>
  <c r="Q29" i="62"/>
  <c r="S29" i="62"/>
  <c r="Z29" i="62"/>
  <c r="AA29" i="62"/>
  <c r="AC29" i="62"/>
  <c r="L30" i="62"/>
  <c r="G30" i="62" s="1"/>
  <c r="R30" i="62" s="1"/>
  <c r="M30" i="62"/>
  <c r="P30" i="62"/>
  <c r="Q30" i="62"/>
  <c r="W30" i="62"/>
  <c r="L31" i="62"/>
  <c r="M31" i="62"/>
  <c r="P31" i="62"/>
  <c r="Q31" i="62"/>
  <c r="S31" i="62"/>
  <c r="Z31" i="62"/>
  <c r="L32" i="62"/>
  <c r="G32" i="62" s="1"/>
  <c r="R32" i="62" s="1"/>
  <c r="M32" i="62"/>
  <c r="P32" i="62"/>
  <c r="Q32" i="62"/>
  <c r="L33" i="62"/>
  <c r="M33" i="62"/>
  <c r="P33" i="62"/>
  <c r="Q33" i="62"/>
  <c r="S33" i="62"/>
  <c r="Z33" i="62"/>
  <c r="AA33" i="62"/>
  <c r="AC33" i="62"/>
  <c r="L34" i="62"/>
  <c r="G34" i="62" s="1"/>
  <c r="R34" i="62" s="1"/>
  <c r="M34" i="62"/>
  <c r="P34" i="62"/>
  <c r="Q34" i="62"/>
  <c r="L35" i="62"/>
  <c r="M35" i="62"/>
  <c r="P35" i="62"/>
  <c r="Q35" i="62"/>
  <c r="S35" i="62"/>
  <c r="Z35" i="62"/>
  <c r="AA35" i="62"/>
  <c r="AC35" i="62"/>
  <c r="L36" i="62"/>
  <c r="G36" i="62" s="1"/>
  <c r="R36" i="62" s="1"/>
  <c r="M36" i="62"/>
  <c r="P36" i="62"/>
  <c r="Q36" i="62"/>
  <c r="L37" i="62"/>
  <c r="M37" i="62"/>
  <c r="P37" i="62"/>
  <c r="Q37" i="62"/>
  <c r="S37" i="62"/>
  <c r="Z37" i="62"/>
  <c r="AA37" i="62"/>
  <c r="AC37" i="62"/>
  <c r="L38" i="62"/>
  <c r="G38" i="62" s="1"/>
  <c r="R38" i="62" s="1"/>
  <c r="M38" i="62"/>
  <c r="P38" i="62"/>
  <c r="Q38" i="62"/>
  <c r="L39" i="62"/>
  <c r="M39" i="62"/>
  <c r="P39" i="62"/>
  <c r="Q39" i="62"/>
  <c r="S39" i="62"/>
  <c r="Z39" i="62"/>
  <c r="AA39" i="62"/>
  <c r="AC39" i="62"/>
  <c r="L40" i="62"/>
  <c r="G40" i="62" s="1"/>
  <c r="R40" i="62" s="1"/>
  <c r="M40" i="62"/>
  <c r="P40" i="62"/>
  <c r="Q40" i="62"/>
  <c r="L41" i="62"/>
  <c r="M41" i="62"/>
  <c r="P41" i="62"/>
  <c r="Q41" i="62"/>
  <c r="S41" i="62"/>
  <c r="Z41" i="62"/>
  <c r="AA41" i="62"/>
  <c r="AC41" i="62"/>
  <c r="L42" i="62"/>
  <c r="G42" i="62" s="1"/>
  <c r="R42" i="62" s="1"/>
  <c r="M42" i="62"/>
  <c r="P42" i="62"/>
  <c r="Q42" i="62"/>
  <c r="L43" i="62"/>
  <c r="M43" i="62"/>
  <c r="P43" i="62"/>
  <c r="Q43" i="62"/>
  <c r="S43" i="62"/>
  <c r="Z43" i="62"/>
  <c r="AA43" i="62"/>
  <c r="AC43" i="62"/>
  <c r="L44" i="62"/>
  <c r="G44" i="62" s="1"/>
  <c r="R44" i="62" s="1"/>
  <c r="M44" i="62"/>
  <c r="P44" i="62"/>
  <c r="Q44" i="62"/>
  <c r="L45" i="62"/>
  <c r="G45" i="62" s="1"/>
  <c r="R45" i="62" s="1"/>
  <c r="M45" i="62"/>
  <c r="P45" i="62"/>
  <c r="Q45" i="62"/>
  <c r="S45" i="62"/>
  <c r="Z45" i="62"/>
  <c r="AA45" i="62"/>
  <c r="AC45" i="62"/>
  <c r="L46" i="62"/>
  <c r="G46" i="62" s="1"/>
  <c r="R46" i="62" s="1"/>
  <c r="M46" i="62"/>
  <c r="P46" i="62"/>
  <c r="Q46" i="62"/>
  <c r="L47" i="62"/>
  <c r="G47" i="62" s="1"/>
  <c r="R47" i="62" s="1"/>
  <c r="M47" i="62"/>
  <c r="P47" i="62"/>
  <c r="Q47" i="62"/>
  <c r="S47" i="62"/>
  <c r="Z47" i="62"/>
  <c r="L48" i="62"/>
  <c r="G48" i="62" s="1"/>
  <c r="R48" i="62" s="1"/>
  <c r="M48" i="62"/>
  <c r="P48" i="62"/>
  <c r="Q48" i="62"/>
  <c r="L49" i="62"/>
  <c r="U49" i="62" s="1"/>
  <c r="M49" i="62"/>
  <c r="P49" i="62"/>
  <c r="Q49" i="62"/>
  <c r="S49" i="62"/>
  <c r="Z49" i="62"/>
  <c r="AA49" i="62"/>
  <c r="AC49" i="62"/>
  <c r="L50" i="62"/>
  <c r="G50" i="62" s="1"/>
  <c r="R50" i="62" s="1"/>
  <c r="M50" i="62"/>
  <c r="P50" i="62"/>
  <c r="Q50" i="62"/>
  <c r="L51" i="62"/>
  <c r="U51" i="62" s="1"/>
  <c r="M51" i="62"/>
  <c r="P51" i="62"/>
  <c r="Q51" i="62"/>
  <c r="S51" i="62"/>
  <c r="Z51" i="62"/>
  <c r="AA51" i="62"/>
  <c r="AC51" i="62"/>
  <c r="L52" i="62"/>
  <c r="G52" i="62" s="1"/>
  <c r="R52" i="62" s="1"/>
  <c r="M52" i="62"/>
  <c r="P52" i="62"/>
  <c r="Q52" i="62"/>
  <c r="L53" i="62"/>
  <c r="U53" i="62" s="1"/>
  <c r="M53" i="62"/>
  <c r="P53" i="62"/>
  <c r="Q53" i="62"/>
  <c r="S53" i="62"/>
  <c r="Z53" i="62"/>
  <c r="AA53" i="62"/>
  <c r="AC53" i="62"/>
  <c r="L54" i="62"/>
  <c r="G54" i="62" s="1"/>
  <c r="R54" i="62" s="1"/>
  <c r="M54" i="62"/>
  <c r="P54" i="62"/>
  <c r="Q54" i="62"/>
  <c r="L55" i="62"/>
  <c r="G55" i="62" s="1"/>
  <c r="R55" i="62" s="1"/>
  <c r="M55" i="62"/>
  <c r="P55" i="62"/>
  <c r="Q55" i="62"/>
  <c r="S55" i="62"/>
  <c r="Z55" i="62"/>
  <c r="AA55" i="62"/>
  <c r="AC55" i="62"/>
  <c r="L56" i="62"/>
  <c r="G56" i="62" s="1"/>
  <c r="R56" i="62" s="1"/>
  <c r="M56" i="62"/>
  <c r="P56" i="62"/>
  <c r="Q56" i="62"/>
  <c r="L57" i="62"/>
  <c r="G57" i="62" s="1"/>
  <c r="R57" i="62" s="1"/>
  <c r="M57" i="62"/>
  <c r="P57" i="62"/>
  <c r="Q57" i="62"/>
  <c r="S57" i="62"/>
  <c r="Z57" i="62"/>
  <c r="AA57" i="62"/>
  <c r="AC57" i="62"/>
  <c r="L58" i="62"/>
  <c r="G58" i="62" s="1"/>
  <c r="R58" i="62" s="1"/>
  <c r="M58" i="62"/>
  <c r="P58" i="62"/>
  <c r="Q58" i="62"/>
  <c r="L59" i="62"/>
  <c r="G59" i="62" s="1"/>
  <c r="R59" i="62" s="1"/>
  <c r="M59" i="62"/>
  <c r="P59" i="62"/>
  <c r="Q59" i="62"/>
  <c r="S59" i="62"/>
  <c r="Z59" i="62"/>
  <c r="AA59" i="62"/>
  <c r="AC59" i="62"/>
  <c r="L60" i="62"/>
  <c r="G60" i="62" s="1"/>
  <c r="R60" i="62" s="1"/>
  <c r="M60" i="62"/>
  <c r="P60" i="62"/>
  <c r="Q60" i="62"/>
  <c r="L61" i="62"/>
  <c r="U61" i="62" s="1"/>
  <c r="M61" i="62"/>
  <c r="P61" i="62"/>
  <c r="Q61" i="62"/>
  <c r="S61" i="62"/>
  <c r="Z61" i="62"/>
  <c r="AA61" i="62"/>
  <c r="AC61" i="62"/>
  <c r="L62" i="62"/>
  <c r="G62" i="62" s="1"/>
  <c r="R62" i="62" s="1"/>
  <c r="M62" i="62"/>
  <c r="P62" i="62"/>
  <c r="Q62" i="62"/>
  <c r="L63" i="62"/>
  <c r="G63" i="62" s="1"/>
  <c r="R63" i="62" s="1"/>
  <c r="M63" i="62"/>
  <c r="P63" i="62"/>
  <c r="Q63" i="62"/>
  <c r="S63" i="62"/>
  <c r="Z63" i="62"/>
  <c r="AA63" i="62"/>
  <c r="AC63" i="62"/>
  <c r="L64" i="62"/>
  <c r="G64" i="62" s="1"/>
  <c r="R64" i="62" s="1"/>
  <c r="M64" i="62"/>
  <c r="P64" i="62"/>
  <c r="Q64" i="62"/>
  <c r="L65" i="62"/>
  <c r="U65" i="62" s="1"/>
  <c r="M65" i="62"/>
  <c r="P65" i="62"/>
  <c r="Q65" i="62"/>
  <c r="S65" i="62"/>
  <c r="Z65" i="62"/>
  <c r="AA65" i="62"/>
  <c r="AC65" i="62"/>
  <c r="L66" i="62"/>
  <c r="G66" i="62" s="1"/>
  <c r="R66" i="62" s="1"/>
  <c r="M66" i="62"/>
  <c r="P66" i="62"/>
  <c r="Q66" i="62"/>
  <c r="L67" i="62"/>
  <c r="G67" i="62" s="1"/>
  <c r="R67" i="62" s="1"/>
  <c r="M67" i="62"/>
  <c r="P67" i="62"/>
  <c r="Q67" i="62"/>
  <c r="S67" i="62"/>
  <c r="Z67" i="62"/>
  <c r="AA67" i="62"/>
  <c r="AC67" i="62"/>
  <c r="L68" i="62"/>
  <c r="G68" i="62" s="1"/>
  <c r="R68" i="62" s="1"/>
  <c r="M68" i="62"/>
  <c r="P68" i="62"/>
  <c r="Q68" i="62"/>
  <c r="L69" i="62"/>
  <c r="G69" i="62" s="1"/>
  <c r="R69" i="62" s="1"/>
  <c r="M69" i="62"/>
  <c r="P69" i="62"/>
  <c r="Q69" i="62"/>
  <c r="S69" i="62"/>
  <c r="Z69" i="62"/>
  <c r="L70" i="62"/>
  <c r="G70" i="62" s="1"/>
  <c r="R70" i="62" s="1"/>
  <c r="M70" i="62"/>
  <c r="P70" i="62"/>
  <c r="Q70" i="62"/>
  <c r="L71" i="62"/>
  <c r="G71" i="62" s="1"/>
  <c r="R71" i="62" s="1"/>
  <c r="M71" i="62"/>
  <c r="P71" i="62"/>
  <c r="Q71" i="62"/>
  <c r="S71" i="62"/>
  <c r="Z71" i="62"/>
  <c r="L72" i="62"/>
  <c r="G72" i="62" s="1"/>
  <c r="R72" i="62" s="1"/>
  <c r="M72" i="62"/>
  <c r="P72" i="62"/>
  <c r="Q72" i="62"/>
  <c r="L73" i="62"/>
  <c r="U73" i="62" s="1"/>
  <c r="M73" i="62"/>
  <c r="P73" i="62"/>
  <c r="Q73" i="62"/>
  <c r="S73" i="62"/>
  <c r="Z73" i="62"/>
  <c r="AA73" i="62"/>
  <c r="AC73" i="62"/>
  <c r="A74" i="62"/>
  <c r="B8" i="62" s="1"/>
  <c r="I8" i="62" s="1"/>
  <c r="U74" i="62"/>
  <c r="L78" i="62"/>
  <c r="G78" i="62" s="1"/>
  <c r="R78" i="62" s="1"/>
  <c r="M78" i="62"/>
  <c r="P78" i="62"/>
  <c r="Q78" i="62"/>
  <c r="L79" i="62"/>
  <c r="G79" i="62" s="1"/>
  <c r="R79" i="62" s="1"/>
  <c r="M79" i="62"/>
  <c r="P79" i="62"/>
  <c r="Q79" i="62"/>
  <c r="S79" i="62"/>
  <c r="Z79" i="62"/>
  <c r="AA79" i="62"/>
  <c r="AC79" i="62"/>
  <c r="L80" i="62"/>
  <c r="G80" i="62" s="1"/>
  <c r="R80" i="62" s="1"/>
  <c r="M80" i="62"/>
  <c r="P80" i="62"/>
  <c r="Q80" i="62"/>
  <c r="L81" i="62"/>
  <c r="U81" i="62" s="1"/>
  <c r="M81" i="62"/>
  <c r="P81" i="62"/>
  <c r="Q81" i="62"/>
  <c r="S81" i="62"/>
  <c r="Z81" i="62"/>
  <c r="AA81" i="62"/>
  <c r="AC81" i="62"/>
  <c r="L82" i="62"/>
  <c r="G82" i="62" s="1"/>
  <c r="R82" i="62" s="1"/>
  <c r="M82" i="62"/>
  <c r="P82" i="62"/>
  <c r="Q82" i="62"/>
  <c r="L83" i="62"/>
  <c r="G83" i="62" s="1"/>
  <c r="R83" i="62" s="1"/>
  <c r="M83" i="62"/>
  <c r="P83" i="62"/>
  <c r="Q83" i="62"/>
  <c r="S83" i="62"/>
  <c r="Z83" i="62"/>
  <c r="AA83" i="62"/>
  <c r="AC83" i="62"/>
  <c r="L84" i="62"/>
  <c r="G84" i="62" s="1"/>
  <c r="R84" i="62" s="1"/>
  <c r="M84" i="62"/>
  <c r="P84" i="62"/>
  <c r="Q84" i="62"/>
  <c r="L85" i="62"/>
  <c r="G85" i="62" s="1"/>
  <c r="R85" i="62" s="1"/>
  <c r="M85" i="62"/>
  <c r="P85" i="62"/>
  <c r="Q85" i="62"/>
  <c r="S85" i="62"/>
  <c r="Z85" i="62"/>
  <c r="AA85" i="62"/>
  <c r="AC85" i="62"/>
  <c r="L86" i="62"/>
  <c r="G86" i="62" s="1"/>
  <c r="R86" i="62" s="1"/>
  <c r="M86" i="62"/>
  <c r="P86" i="62"/>
  <c r="Q86" i="62"/>
  <c r="L87" i="62"/>
  <c r="G87" i="62" s="1"/>
  <c r="R87" i="62" s="1"/>
  <c r="M87" i="62"/>
  <c r="P87" i="62"/>
  <c r="Q87" i="62"/>
  <c r="S87" i="62"/>
  <c r="Z87" i="62"/>
  <c r="AA87" i="62"/>
  <c r="AC87" i="62"/>
  <c r="L88" i="62"/>
  <c r="G88" i="62" s="1"/>
  <c r="R88" i="62" s="1"/>
  <c r="M88" i="62"/>
  <c r="P88" i="62"/>
  <c r="Q88" i="62"/>
  <c r="L89" i="62"/>
  <c r="U89" i="62" s="1"/>
  <c r="M89" i="62"/>
  <c r="P89" i="62"/>
  <c r="Q89" i="62"/>
  <c r="S89" i="62"/>
  <c r="Z89" i="62"/>
  <c r="AA89" i="62"/>
  <c r="AC89" i="62"/>
  <c r="L90" i="62"/>
  <c r="G90" i="62" s="1"/>
  <c r="R90" i="62" s="1"/>
  <c r="M90" i="62"/>
  <c r="P90" i="62"/>
  <c r="Q90" i="62"/>
  <c r="L91" i="62"/>
  <c r="U91" i="62" s="1"/>
  <c r="M91" i="62"/>
  <c r="P91" i="62"/>
  <c r="Q91" i="62"/>
  <c r="S91" i="62"/>
  <c r="Z91" i="62"/>
  <c r="AA91" i="62"/>
  <c r="AC91" i="62"/>
  <c r="L92" i="62"/>
  <c r="G92" i="62" s="1"/>
  <c r="R92" i="62" s="1"/>
  <c r="M92" i="62"/>
  <c r="P92" i="62"/>
  <c r="Q92" i="62"/>
  <c r="L93" i="62"/>
  <c r="G93" i="62" s="1"/>
  <c r="R93" i="62" s="1"/>
  <c r="M93" i="62"/>
  <c r="P93" i="62"/>
  <c r="Q93" i="62"/>
  <c r="S93" i="62"/>
  <c r="Z93" i="62"/>
  <c r="AA93" i="62"/>
  <c r="AC93" i="62"/>
  <c r="L94" i="62"/>
  <c r="G94" i="62" s="1"/>
  <c r="R94" i="62" s="1"/>
  <c r="M94" i="62"/>
  <c r="P94" i="62"/>
  <c r="Q94" i="62"/>
  <c r="L95" i="62"/>
  <c r="G95" i="62" s="1"/>
  <c r="R95" i="62" s="1"/>
  <c r="M95" i="62"/>
  <c r="P95" i="62"/>
  <c r="Q95" i="62"/>
  <c r="S95" i="62"/>
  <c r="Z95" i="62"/>
  <c r="AA95" i="62"/>
  <c r="AC95" i="62"/>
  <c r="L96" i="62"/>
  <c r="G96" i="62" s="1"/>
  <c r="R96" i="62" s="1"/>
  <c r="M96" i="62"/>
  <c r="P96" i="62"/>
  <c r="Q96" i="62"/>
  <c r="L97" i="62"/>
  <c r="G97" i="62" s="1"/>
  <c r="R97" i="62" s="1"/>
  <c r="M97" i="62"/>
  <c r="P97" i="62"/>
  <c r="Q97" i="62"/>
  <c r="S97" i="62"/>
  <c r="Z97" i="62"/>
  <c r="AA97" i="62"/>
  <c r="AC97" i="62"/>
  <c r="L98" i="62"/>
  <c r="G98" i="62" s="1"/>
  <c r="R98" i="62" s="1"/>
  <c r="M98" i="62"/>
  <c r="P98" i="62"/>
  <c r="Q98" i="62"/>
  <c r="L99" i="62"/>
  <c r="U99" i="62" s="1"/>
  <c r="M99" i="62"/>
  <c r="P99" i="62"/>
  <c r="Q99" i="62"/>
  <c r="S99" i="62"/>
  <c r="Z99" i="62"/>
  <c r="AA99" i="62"/>
  <c r="AC99" i="62"/>
  <c r="L100" i="62"/>
  <c r="G100" i="62" s="1"/>
  <c r="R100" i="62" s="1"/>
  <c r="M100" i="62"/>
  <c r="P100" i="62"/>
  <c r="Q100" i="62"/>
  <c r="L101" i="62"/>
  <c r="G101" i="62" s="1"/>
  <c r="R101" i="62" s="1"/>
  <c r="M101" i="62"/>
  <c r="P101" i="62"/>
  <c r="Q101" i="62"/>
  <c r="S101" i="62"/>
  <c r="Z101" i="62"/>
  <c r="AA101" i="62"/>
  <c r="AC101" i="62"/>
  <c r="L102" i="62"/>
  <c r="G102" i="62" s="1"/>
  <c r="R102" i="62" s="1"/>
  <c r="M102" i="62"/>
  <c r="P102" i="62"/>
  <c r="Q102" i="62"/>
  <c r="L103" i="62"/>
  <c r="G103" i="62" s="1"/>
  <c r="R103" i="62" s="1"/>
  <c r="M103" i="62"/>
  <c r="P103" i="62"/>
  <c r="Q103" i="62"/>
  <c r="S103" i="62"/>
  <c r="Z103" i="62"/>
  <c r="AA103" i="62"/>
  <c r="AC103" i="62"/>
  <c r="L104" i="62"/>
  <c r="G104" i="62" s="1"/>
  <c r="R104" i="62" s="1"/>
  <c r="M104" i="62"/>
  <c r="P104" i="62"/>
  <c r="Q104" i="62"/>
  <c r="L105" i="62"/>
  <c r="G105" i="62" s="1"/>
  <c r="R105" i="62" s="1"/>
  <c r="M105" i="62"/>
  <c r="P105" i="62"/>
  <c r="Q105" i="62"/>
  <c r="S105" i="62"/>
  <c r="Z105" i="62"/>
  <c r="AA105" i="62"/>
  <c r="AC105" i="62"/>
  <c r="L106" i="62"/>
  <c r="G106" i="62" s="1"/>
  <c r="R106" i="62" s="1"/>
  <c r="M106" i="62"/>
  <c r="P106" i="62"/>
  <c r="Q106" i="62"/>
  <c r="L107" i="62"/>
  <c r="U107" i="62" s="1"/>
  <c r="M107" i="62"/>
  <c r="P107" i="62"/>
  <c r="Q107" i="62"/>
  <c r="S107" i="62"/>
  <c r="Z107" i="62"/>
  <c r="AA107" i="62"/>
  <c r="AC107" i="62"/>
  <c r="L108" i="62"/>
  <c r="G108" i="62" s="1"/>
  <c r="R108" i="62" s="1"/>
  <c r="M108" i="62"/>
  <c r="P108" i="62"/>
  <c r="Q108" i="62"/>
  <c r="L109" i="62"/>
  <c r="U109" i="62" s="1"/>
  <c r="M109" i="62"/>
  <c r="P109" i="62"/>
  <c r="Q109" i="62"/>
  <c r="S109" i="62"/>
  <c r="Z109" i="62"/>
  <c r="AA109" i="62"/>
  <c r="AC109" i="62"/>
  <c r="L110" i="62"/>
  <c r="G110" i="62" s="1"/>
  <c r="R110" i="62" s="1"/>
  <c r="M110" i="62"/>
  <c r="P110" i="62"/>
  <c r="Q110" i="62"/>
  <c r="L111" i="62"/>
  <c r="G111" i="62" s="1"/>
  <c r="R111" i="62" s="1"/>
  <c r="M111" i="62"/>
  <c r="P111" i="62"/>
  <c r="Q111" i="62"/>
  <c r="S111" i="62"/>
  <c r="Z111" i="62"/>
  <c r="AA111" i="62"/>
  <c r="AC111" i="62"/>
  <c r="L112" i="62"/>
  <c r="G112" i="62" s="1"/>
  <c r="R112" i="62" s="1"/>
  <c r="M112" i="62"/>
  <c r="P112" i="62"/>
  <c r="Q112" i="62"/>
  <c r="L113" i="62"/>
  <c r="U113" i="62" s="1"/>
  <c r="M113" i="62"/>
  <c r="P113" i="62"/>
  <c r="Q113" i="62"/>
  <c r="S113" i="62"/>
  <c r="Z113" i="62"/>
  <c r="AA113" i="62"/>
  <c r="AC113" i="62"/>
  <c r="L114" i="62"/>
  <c r="G114" i="62" s="1"/>
  <c r="R114" i="62" s="1"/>
  <c r="M114" i="62"/>
  <c r="P114" i="62"/>
  <c r="Q114" i="62"/>
  <c r="L115" i="62"/>
  <c r="U115" i="62" s="1"/>
  <c r="M115" i="62"/>
  <c r="P115" i="62"/>
  <c r="Q115" i="62"/>
  <c r="S115" i="62"/>
  <c r="Z115" i="62"/>
  <c r="AA115" i="62"/>
  <c r="AC115" i="62"/>
  <c r="L116" i="62"/>
  <c r="G116" i="62" s="1"/>
  <c r="R116" i="62" s="1"/>
  <c r="M116" i="62"/>
  <c r="P116" i="62"/>
  <c r="Q116" i="62"/>
  <c r="L117" i="62"/>
  <c r="G117" i="62" s="1"/>
  <c r="R117" i="62" s="1"/>
  <c r="M117" i="62"/>
  <c r="P117" i="62"/>
  <c r="Q117" i="62"/>
  <c r="S117" i="62"/>
  <c r="Z117" i="62"/>
  <c r="AA117" i="62"/>
  <c r="AC117" i="62"/>
  <c r="L118" i="62"/>
  <c r="G118" i="62" s="1"/>
  <c r="R118" i="62" s="1"/>
  <c r="M118" i="62"/>
  <c r="P118" i="62"/>
  <c r="Q118" i="62"/>
  <c r="L119" i="62"/>
  <c r="G119" i="62" s="1"/>
  <c r="R119" i="62" s="1"/>
  <c r="M119" i="62"/>
  <c r="P119" i="62"/>
  <c r="Q119" i="62"/>
  <c r="S119" i="62"/>
  <c r="Z119" i="62"/>
  <c r="AA119" i="62"/>
  <c r="AC119" i="62"/>
  <c r="L120" i="62"/>
  <c r="G120" i="62" s="1"/>
  <c r="R120" i="62" s="1"/>
  <c r="M120" i="62"/>
  <c r="P120" i="62"/>
  <c r="Q120" i="62"/>
  <c r="L121" i="62"/>
  <c r="U121" i="62" s="1"/>
  <c r="M121" i="62"/>
  <c r="P121" i="62"/>
  <c r="Q121" i="62"/>
  <c r="S121" i="62"/>
  <c r="Z121" i="62"/>
  <c r="AA121" i="62"/>
  <c r="AC121" i="62"/>
  <c r="L122" i="62"/>
  <c r="G122" i="62" s="1"/>
  <c r="R122" i="62" s="1"/>
  <c r="M122" i="62"/>
  <c r="P122" i="62"/>
  <c r="Q122" i="62"/>
  <c r="L123" i="62"/>
  <c r="G123" i="62" s="1"/>
  <c r="R123" i="62" s="1"/>
  <c r="M123" i="62"/>
  <c r="P123" i="62"/>
  <c r="Q123" i="62"/>
  <c r="S123" i="62"/>
  <c r="Z123" i="62"/>
  <c r="AA123" i="62"/>
  <c r="AC123" i="62"/>
  <c r="L124" i="62"/>
  <c r="G124" i="62" s="1"/>
  <c r="R124" i="62" s="1"/>
  <c r="M124" i="62"/>
  <c r="P124" i="62"/>
  <c r="Q124" i="62"/>
  <c r="L125" i="62"/>
  <c r="U125" i="62" s="1"/>
  <c r="M125" i="62"/>
  <c r="P125" i="62"/>
  <c r="Q125" i="62"/>
  <c r="S125" i="62"/>
  <c r="Z125" i="62"/>
  <c r="AA125" i="62"/>
  <c r="AC125" i="62"/>
  <c r="L126" i="62"/>
  <c r="G126" i="62" s="1"/>
  <c r="R126" i="62" s="1"/>
  <c r="M126" i="62"/>
  <c r="P126" i="62"/>
  <c r="Q126" i="62"/>
  <c r="L127" i="62"/>
  <c r="G127" i="62" s="1"/>
  <c r="R127" i="62" s="1"/>
  <c r="M127" i="62"/>
  <c r="P127" i="62"/>
  <c r="Q127" i="62"/>
  <c r="S127" i="62"/>
  <c r="Z127" i="62"/>
  <c r="AA127" i="62"/>
  <c r="AC127" i="62"/>
  <c r="L128" i="62"/>
  <c r="G128" i="62" s="1"/>
  <c r="R128" i="62" s="1"/>
  <c r="M128" i="62"/>
  <c r="P128" i="62"/>
  <c r="Q128" i="62"/>
  <c r="L129" i="62"/>
  <c r="U129" i="62" s="1"/>
  <c r="M129" i="62"/>
  <c r="P129" i="62"/>
  <c r="Q129" i="62"/>
  <c r="S129" i="62"/>
  <c r="Z129" i="62"/>
  <c r="AA129" i="62"/>
  <c r="AC129" i="62"/>
  <c r="L130" i="62"/>
  <c r="G130" i="62" s="1"/>
  <c r="R130" i="62" s="1"/>
  <c r="M130" i="62"/>
  <c r="P130" i="62"/>
  <c r="Q130" i="62"/>
  <c r="L131" i="62"/>
  <c r="U131" i="62" s="1"/>
  <c r="M131" i="62"/>
  <c r="P131" i="62"/>
  <c r="Q131" i="62"/>
  <c r="S131" i="62"/>
  <c r="Z131" i="62"/>
  <c r="AA131" i="62"/>
  <c r="AC131" i="62"/>
  <c r="L132" i="62"/>
  <c r="G132" i="62" s="1"/>
  <c r="R132" i="62" s="1"/>
  <c r="M132" i="62"/>
  <c r="P132" i="62"/>
  <c r="Q132" i="62"/>
  <c r="L133" i="62"/>
  <c r="G133" i="62" s="1"/>
  <c r="R133" i="62" s="1"/>
  <c r="M133" i="62"/>
  <c r="P133" i="62"/>
  <c r="Q133" i="62"/>
  <c r="S133" i="62"/>
  <c r="Z133" i="62"/>
  <c r="AA133" i="62"/>
  <c r="AC133" i="62"/>
  <c r="L134" i="62"/>
  <c r="G134" i="62" s="1"/>
  <c r="R134" i="62" s="1"/>
  <c r="M134" i="62"/>
  <c r="P134" i="62"/>
  <c r="Q134" i="62"/>
  <c r="L135" i="62"/>
  <c r="G135" i="62" s="1"/>
  <c r="R135" i="62" s="1"/>
  <c r="M135" i="62"/>
  <c r="P135" i="62"/>
  <c r="Q135" i="62"/>
  <c r="S135" i="62"/>
  <c r="Z135" i="62"/>
  <c r="AA135" i="62"/>
  <c r="AC135" i="62"/>
  <c r="L136" i="62"/>
  <c r="G136" i="62" s="1"/>
  <c r="R136" i="62" s="1"/>
  <c r="M136" i="62"/>
  <c r="P136" i="62"/>
  <c r="Q136" i="62"/>
  <c r="L137" i="62"/>
  <c r="U137" i="62" s="1"/>
  <c r="M137" i="62"/>
  <c r="P137" i="62"/>
  <c r="Q137" i="62"/>
  <c r="S137" i="62"/>
  <c r="Z137" i="62"/>
  <c r="AA137" i="62"/>
  <c r="AC137" i="62"/>
  <c r="L138" i="62"/>
  <c r="G138" i="62" s="1"/>
  <c r="R138" i="62" s="1"/>
  <c r="M138" i="62"/>
  <c r="P138" i="62"/>
  <c r="Q138" i="62"/>
  <c r="L139" i="62"/>
  <c r="G139" i="62" s="1"/>
  <c r="R139" i="62" s="1"/>
  <c r="M139" i="62"/>
  <c r="P139" i="62"/>
  <c r="Q139" i="62"/>
  <c r="S139" i="62"/>
  <c r="Z139" i="62"/>
  <c r="AA139" i="62"/>
  <c r="AC139" i="62"/>
  <c r="L140" i="62"/>
  <c r="G140" i="62" s="1"/>
  <c r="R140" i="62" s="1"/>
  <c r="M140" i="62"/>
  <c r="P140" i="62"/>
  <c r="Q140" i="62"/>
  <c r="L141" i="62"/>
  <c r="G141" i="62" s="1"/>
  <c r="R141" i="62" s="1"/>
  <c r="M141" i="62"/>
  <c r="P141" i="62"/>
  <c r="Q141" i="62"/>
  <c r="S141" i="62"/>
  <c r="Z141" i="62"/>
  <c r="AA141" i="62"/>
  <c r="AC141" i="62"/>
  <c r="L142" i="62"/>
  <c r="G142" i="62" s="1"/>
  <c r="R142" i="62" s="1"/>
  <c r="M142" i="62"/>
  <c r="P142" i="62"/>
  <c r="Q142" i="62"/>
  <c r="L143" i="62"/>
  <c r="G143" i="62" s="1"/>
  <c r="R143" i="62" s="1"/>
  <c r="M143" i="62"/>
  <c r="P143" i="62"/>
  <c r="Q143" i="62"/>
  <c r="S143" i="62"/>
  <c r="Z143" i="62"/>
  <c r="AA143" i="62"/>
  <c r="AC143" i="62"/>
  <c r="AD6" i="55"/>
  <c r="AD7" i="55"/>
  <c r="A8" i="55"/>
  <c r="AC8" i="55"/>
  <c r="Z10" i="55"/>
  <c r="AD8" i="55"/>
  <c r="L12" i="55"/>
  <c r="M12" i="55"/>
  <c r="P12" i="55"/>
  <c r="Q12" i="55"/>
  <c r="L13" i="55"/>
  <c r="M13" i="55"/>
  <c r="P13" i="55"/>
  <c r="Q13" i="55"/>
  <c r="S13" i="55"/>
  <c r="Z13" i="55"/>
  <c r="AA13" i="55"/>
  <c r="AC13" i="55"/>
  <c r="L14" i="55"/>
  <c r="M14" i="55"/>
  <c r="P14" i="55"/>
  <c r="Q14" i="55"/>
  <c r="L15" i="55"/>
  <c r="M15" i="55"/>
  <c r="P15" i="55"/>
  <c r="Q15" i="55"/>
  <c r="S15" i="55"/>
  <c r="Z15" i="55"/>
  <c r="AA15" i="55"/>
  <c r="AC15" i="55"/>
  <c r="L16" i="55"/>
  <c r="M16" i="55"/>
  <c r="P16" i="55"/>
  <c r="Q16" i="55"/>
  <c r="L17" i="55"/>
  <c r="M17" i="55"/>
  <c r="P17" i="55"/>
  <c r="Q17" i="55"/>
  <c r="S17" i="55"/>
  <c r="X17" i="55"/>
  <c r="AA17" i="55"/>
  <c r="AC17" i="55"/>
  <c r="L18" i="55"/>
  <c r="M18" i="55"/>
  <c r="P18" i="55"/>
  <c r="Q18" i="55"/>
  <c r="L19" i="55"/>
  <c r="G19" i="55" s="1"/>
  <c r="R19" i="55" s="1"/>
  <c r="M19" i="55"/>
  <c r="P19" i="55"/>
  <c r="Q19" i="55"/>
  <c r="S19" i="55"/>
  <c r="Z19" i="55"/>
  <c r="AA19" i="55"/>
  <c r="AC19" i="55"/>
  <c r="L20" i="55"/>
  <c r="M20" i="55"/>
  <c r="P20" i="55"/>
  <c r="Q20" i="55"/>
  <c r="L21" i="55"/>
  <c r="M21" i="55"/>
  <c r="P21" i="55"/>
  <c r="Q21" i="55"/>
  <c r="S21" i="55"/>
  <c r="Z21" i="55"/>
  <c r="L22" i="55"/>
  <c r="G22" i="55" s="1"/>
  <c r="R22" i="55" s="1"/>
  <c r="M22" i="55"/>
  <c r="P22" i="55"/>
  <c r="Q22" i="55"/>
  <c r="L23" i="55"/>
  <c r="M23" i="55"/>
  <c r="P23" i="55"/>
  <c r="Q23" i="55"/>
  <c r="S23" i="55"/>
  <c r="W23" i="55"/>
  <c r="Z23" i="55"/>
  <c r="AA23" i="55"/>
  <c r="AC23" i="55"/>
  <c r="L24" i="55"/>
  <c r="G24" i="55" s="1"/>
  <c r="R24" i="55" s="1"/>
  <c r="M24" i="55"/>
  <c r="P24" i="55"/>
  <c r="Q24" i="55"/>
  <c r="L25" i="55"/>
  <c r="G25" i="55" s="1"/>
  <c r="R25" i="55" s="1"/>
  <c r="M25" i="55"/>
  <c r="P25" i="55"/>
  <c r="Q25" i="55"/>
  <c r="S25" i="55"/>
  <c r="W25" i="55"/>
  <c r="Z25" i="55"/>
  <c r="AA25" i="55"/>
  <c r="AC25" i="55"/>
  <c r="L26" i="55"/>
  <c r="M26" i="55"/>
  <c r="P26" i="55"/>
  <c r="Q26" i="55"/>
  <c r="L27" i="55"/>
  <c r="M27" i="55"/>
  <c r="P27" i="55"/>
  <c r="Q27" i="55"/>
  <c r="S27" i="55"/>
  <c r="W27" i="55"/>
  <c r="Z27" i="55"/>
  <c r="AA27" i="55"/>
  <c r="AC27" i="55"/>
  <c r="L28" i="55"/>
  <c r="G28" i="55" s="1"/>
  <c r="R28" i="55" s="1"/>
  <c r="M28" i="55"/>
  <c r="P28" i="55"/>
  <c r="Q28" i="55"/>
  <c r="L29" i="55"/>
  <c r="M29" i="55"/>
  <c r="P29" i="55"/>
  <c r="Q29" i="55"/>
  <c r="S29" i="55"/>
  <c r="W29" i="55"/>
  <c r="Z29" i="55"/>
  <c r="AA29" i="55"/>
  <c r="AC29" i="55"/>
  <c r="L30" i="55"/>
  <c r="G30" i="55" s="1"/>
  <c r="R30" i="55" s="1"/>
  <c r="M30" i="55"/>
  <c r="P30" i="55"/>
  <c r="Q30" i="55"/>
  <c r="L31" i="55"/>
  <c r="M31" i="55"/>
  <c r="P31" i="55"/>
  <c r="Q31" i="55"/>
  <c r="S31" i="55"/>
  <c r="X31" i="55"/>
  <c r="AA31" i="55"/>
  <c r="AC31" i="55"/>
  <c r="L32" i="55"/>
  <c r="G32" i="55" s="1"/>
  <c r="R32" i="55" s="1"/>
  <c r="M32" i="55"/>
  <c r="P32" i="55"/>
  <c r="Q32" i="55"/>
  <c r="L33" i="55"/>
  <c r="G33" i="55" s="1"/>
  <c r="R33" i="55" s="1"/>
  <c r="M33" i="55"/>
  <c r="P33" i="55"/>
  <c r="Q33" i="55"/>
  <c r="S33" i="55"/>
  <c r="Z33" i="55"/>
  <c r="AA33" i="55"/>
  <c r="AC33" i="55"/>
  <c r="L34" i="55"/>
  <c r="G34" i="55" s="1"/>
  <c r="R34" i="55" s="1"/>
  <c r="M34" i="55"/>
  <c r="P34" i="55"/>
  <c r="Q34" i="55"/>
  <c r="L35" i="55"/>
  <c r="M35" i="55"/>
  <c r="P35" i="55"/>
  <c r="Q35" i="55"/>
  <c r="S35" i="55"/>
  <c r="Z35" i="55"/>
  <c r="Y37" i="55" s="1"/>
  <c r="AA35" i="55"/>
  <c r="AC35" i="55"/>
  <c r="L36" i="55"/>
  <c r="G36" i="55" s="1"/>
  <c r="R36" i="55" s="1"/>
  <c r="M36" i="55"/>
  <c r="P36" i="55"/>
  <c r="Q36" i="55"/>
  <c r="L37" i="55"/>
  <c r="M37" i="55"/>
  <c r="P37" i="55"/>
  <c r="Q37" i="55"/>
  <c r="S37" i="55"/>
  <c r="X37" i="55"/>
  <c r="AA37" i="55"/>
  <c r="AC37" i="55"/>
  <c r="L38" i="55"/>
  <c r="G38" i="55" s="1"/>
  <c r="R38" i="55" s="1"/>
  <c r="M38" i="55"/>
  <c r="P38" i="55"/>
  <c r="Q38" i="55"/>
  <c r="L39" i="55"/>
  <c r="U39" i="55" s="1"/>
  <c r="M39" i="55"/>
  <c r="P39" i="55"/>
  <c r="Q39" i="55"/>
  <c r="S39" i="55"/>
  <c r="Z39" i="55"/>
  <c r="AA39" i="55"/>
  <c r="AC39" i="55"/>
  <c r="L40" i="55"/>
  <c r="G40" i="55" s="1"/>
  <c r="R40" i="55" s="1"/>
  <c r="M40" i="55"/>
  <c r="P40" i="55"/>
  <c r="Q40" i="55"/>
  <c r="L41" i="55"/>
  <c r="G41" i="55" s="1"/>
  <c r="R41" i="55" s="1"/>
  <c r="M41" i="55"/>
  <c r="P41" i="55"/>
  <c r="Q41" i="55"/>
  <c r="S41" i="55"/>
  <c r="Z41" i="55"/>
  <c r="L42" i="55"/>
  <c r="M42" i="55"/>
  <c r="P42" i="55"/>
  <c r="Q42" i="55"/>
  <c r="L43" i="55"/>
  <c r="M43" i="55"/>
  <c r="P43" i="55"/>
  <c r="Q43" i="55"/>
  <c r="S43" i="55"/>
  <c r="Z43" i="55"/>
  <c r="AA43" i="55"/>
  <c r="AC43" i="55"/>
  <c r="L44" i="55"/>
  <c r="M44" i="55"/>
  <c r="P44" i="55"/>
  <c r="Q44" i="55"/>
  <c r="L45" i="55"/>
  <c r="M45" i="55"/>
  <c r="P45" i="55"/>
  <c r="Q45" i="55"/>
  <c r="S45" i="55"/>
  <c r="Z45" i="55"/>
  <c r="AA45" i="55"/>
  <c r="AC45" i="55"/>
  <c r="L46" i="55"/>
  <c r="M46" i="55"/>
  <c r="P46" i="55"/>
  <c r="Q46" i="55"/>
  <c r="L47" i="55"/>
  <c r="M47" i="55"/>
  <c r="P47" i="55"/>
  <c r="Q47" i="55"/>
  <c r="S47" i="55"/>
  <c r="Z47" i="55"/>
  <c r="AA47" i="55"/>
  <c r="AC47" i="55"/>
  <c r="L48" i="55"/>
  <c r="M48" i="55"/>
  <c r="P48" i="55"/>
  <c r="Q48" i="55"/>
  <c r="L49" i="55"/>
  <c r="M49" i="55"/>
  <c r="P49" i="55"/>
  <c r="Q49" i="55"/>
  <c r="S49" i="55"/>
  <c r="Z49" i="55"/>
  <c r="AA49" i="55"/>
  <c r="AC49" i="55"/>
  <c r="L50" i="55"/>
  <c r="M50" i="55"/>
  <c r="P50" i="55"/>
  <c r="Q50" i="55"/>
  <c r="L51" i="55"/>
  <c r="M51" i="55"/>
  <c r="P51" i="55"/>
  <c r="Q51" i="55"/>
  <c r="S51" i="55"/>
  <c r="Z51" i="55"/>
  <c r="AA51" i="55"/>
  <c r="AC51" i="55"/>
  <c r="L52" i="55"/>
  <c r="M52" i="55"/>
  <c r="P52" i="55"/>
  <c r="Q52" i="55"/>
  <c r="L53" i="55"/>
  <c r="M53" i="55"/>
  <c r="P53" i="55"/>
  <c r="Q53" i="55"/>
  <c r="S53" i="55"/>
  <c r="Z53" i="55"/>
  <c r="AA53" i="55"/>
  <c r="AC53" i="55"/>
  <c r="L54" i="55"/>
  <c r="M54" i="55"/>
  <c r="P54" i="55"/>
  <c r="Q54" i="55"/>
  <c r="L55" i="55"/>
  <c r="M55" i="55"/>
  <c r="P55" i="55"/>
  <c r="Q55" i="55"/>
  <c r="S55" i="55"/>
  <c r="Z55" i="55"/>
  <c r="AA55" i="55"/>
  <c r="AC55" i="55"/>
  <c r="L56" i="55"/>
  <c r="M56" i="55"/>
  <c r="P56" i="55"/>
  <c r="Q56" i="55"/>
  <c r="W56" i="55"/>
  <c r="L57" i="55"/>
  <c r="M57" i="55"/>
  <c r="P57" i="55"/>
  <c r="Q57" i="55"/>
  <c r="S57" i="55"/>
  <c r="W57" i="55"/>
  <c r="Z57" i="55"/>
  <c r="AA57" i="55"/>
  <c r="AC57" i="55"/>
  <c r="L58" i="55"/>
  <c r="G58" i="55" s="1"/>
  <c r="R58" i="55" s="1"/>
  <c r="M58" i="55"/>
  <c r="P58" i="55"/>
  <c r="Q58" i="55"/>
  <c r="L59" i="55"/>
  <c r="G59" i="55" s="1"/>
  <c r="R59" i="55" s="1"/>
  <c r="M59" i="55"/>
  <c r="P59" i="55"/>
  <c r="Q59" i="55"/>
  <c r="S59" i="55"/>
  <c r="Z59" i="55"/>
  <c r="AA59" i="55"/>
  <c r="AC59" i="55"/>
  <c r="L60" i="55"/>
  <c r="G60" i="55" s="1"/>
  <c r="R60" i="55" s="1"/>
  <c r="M60" i="55"/>
  <c r="P60" i="55"/>
  <c r="Q60" i="55"/>
  <c r="L61" i="55"/>
  <c r="M61" i="55"/>
  <c r="P61" i="55"/>
  <c r="Q61" i="55"/>
  <c r="S61" i="55"/>
  <c r="Z61" i="55"/>
  <c r="L62" i="55"/>
  <c r="M62" i="55"/>
  <c r="P62" i="55"/>
  <c r="Q62" i="55"/>
  <c r="L63" i="55"/>
  <c r="G63" i="55" s="1"/>
  <c r="R63" i="55" s="1"/>
  <c r="M63" i="55"/>
  <c r="P63" i="55"/>
  <c r="Q63" i="55"/>
  <c r="S63" i="55"/>
  <c r="Z63" i="55"/>
  <c r="AA63" i="55"/>
  <c r="AC63" i="55"/>
  <c r="L64" i="55"/>
  <c r="M64" i="55"/>
  <c r="P64" i="55"/>
  <c r="Q64" i="55"/>
  <c r="L65" i="55"/>
  <c r="M65" i="55"/>
  <c r="P65" i="55"/>
  <c r="Q65" i="55"/>
  <c r="S65" i="55"/>
  <c r="Z65" i="55"/>
  <c r="AA65" i="55"/>
  <c r="AC65" i="55"/>
  <c r="L66" i="55"/>
  <c r="M66" i="55"/>
  <c r="P66" i="55"/>
  <c r="Q66" i="55"/>
  <c r="L67" i="55"/>
  <c r="M67" i="55"/>
  <c r="P67" i="55"/>
  <c r="Q67" i="55"/>
  <c r="S67" i="55"/>
  <c r="Z67" i="55"/>
  <c r="AA67" i="55"/>
  <c r="AC67" i="55"/>
  <c r="L68" i="55"/>
  <c r="M68" i="55"/>
  <c r="P68" i="55"/>
  <c r="Q68" i="55"/>
  <c r="L69" i="55"/>
  <c r="M69" i="55"/>
  <c r="P69" i="55"/>
  <c r="Q69" i="55"/>
  <c r="S69" i="55"/>
  <c r="Z69" i="55"/>
  <c r="AA69" i="55"/>
  <c r="AC69" i="55"/>
  <c r="L70" i="55"/>
  <c r="M70" i="55"/>
  <c r="P70" i="55"/>
  <c r="Q70" i="55"/>
  <c r="L71" i="55"/>
  <c r="U71" i="55" s="1"/>
  <c r="M71" i="55"/>
  <c r="P71" i="55"/>
  <c r="Q71" i="55"/>
  <c r="S71" i="55"/>
  <c r="Z71" i="55"/>
  <c r="AA71" i="55"/>
  <c r="AC71" i="55"/>
  <c r="L72" i="55"/>
  <c r="M72" i="55"/>
  <c r="P72" i="55"/>
  <c r="Q72" i="55"/>
  <c r="L73" i="55"/>
  <c r="M73" i="55"/>
  <c r="P73" i="55"/>
  <c r="Q73" i="55"/>
  <c r="S73" i="55"/>
  <c r="Z73" i="55"/>
  <c r="AA73" i="55"/>
  <c r="AC73" i="55"/>
  <c r="A74" i="55"/>
  <c r="U74" i="55"/>
  <c r="L78" i="55"/>
  <c r="G78" i="55" s="1"/>
  <c r="R78" i="55" s="1"/>
  <c r="M78" i="55"/>
  <c r="P78" i="55"/>
  <c r="Q78" i="55"/>
  <c r="L79" i="55"/>
  <c r="M79" i="55"/>
  <c r="P79" i="55"/>
  <c r="Q79" i="55"/>
  <c r="S79" i="55"/>
  <c r="Z79" i="55"/>
  <c r="AA79" i="55"/>
  <c r="AC79" i="55"/>
  <c r="L80" i="55"/>
  <c r="G80" i="55" s="1"/>
  <c r="R80" i="55" s="1"/>
  <c r="M80" i="55"/>
  <c r="P80" i="55"/>
  <c r="Q80" i="55"/>
  <c r="L81" i="55"/>
  <c r="M81" i="55"/>
  <c r="P81" i="55"/>
  <c r="Q81" i="55"/>
  <c r="S81" i="55"/>
  <c r="Z81" i="55"/>
  <c r="AA81" i="55"/>
  <c r="AC81" i="55"/>
  <c r="L82" i="55"/>
  <c r="G82" i="55" s="1"/>
  <c r="R82" i="55" s="1"/>
  <c r="M82" i="55"/>
  <c r="P82" i="55"/>
  <c r="Q82" i="55"/>
  <c r="L83" i="55"/>
  <c r="M83" i="55"/>
  <c r="P83" i="55"/>
  <c r="Q83" i="55"/>
  <c r="S83" i="55"/>
  <c r="Z83" i="55"/>
  <c r="AA83" i="55"/>
  <c r="AC83" i="55"/>
  <c r="L84" i="55"/>
  <c r="G84" i="55" s="1"/>
  <c r="R84" i="55" s="1"/>
  <c r="M84" i="55"/>
  <c r="P84" i="55"/>
  <c r="Q84" i="55"/>
  <c r="L85" i="55"/>
  <c r="M85" i="55"/>
  <c r="P85" i="55"/>
  <c r="Q85" i="55"/>
  <c r="S85" i="55"/>
  <c r="Z85" i="55"/>
  <c r="AA85" i="55"/>
  <c r="AC85" i="55"/>
  <c r="L86" i="55"/>
  <c r="G86" i="55" s="1"/>
  <c r="R86" i="55" s="1"/>
  <c r="M86" i="55"/>
  <c r="P86" i="55"/>
  <c r="Q86" i="55"/>
  <c r="L87" i="55"/>
  <c r="M87" i="55"/>
  <c r="P87" i="55"/>
  <c r="Q87" i="55"/>
  <c r="S87" i="55"/>
  <c r="Z87" i="55"/>
  <c r="AA87" i="55"/>
  <c r="AC87" i="55"/>
  <c r="L88" i="55"/>
  <c r="G88" i="55" s="1"/>
  <c r="R88" i="55" s="1"/>
  <c r="M88" i="55"/>
  <c r="P88" i="55"/>
  <c r="Q88" i="55"/>
  <c r="L89" i="55"/>
  <c r="M89" i="55"/>
  <c r="P89" i="55"/>
  <c r="Q89" i="55"/>
  <c r="S89" i="55"/>
  <c r="Z89" i="55"/>
  <c r="AA89" i="55"/>
  <c r="AC89" i="55"/>
  <c r="L90" i="55"/>
  <c r="G90" i="55" s="1"/>
  <c r="R90" i="55" s="1"/>
  <c r="M90" i="55"/>
  <c r="P90" i="55"/>
  <c r="Q90" i="55"/>
  <c r="L91" i="55"/>
  <c r="M91" i="55"/>
  <c r="P91" i="55"/>
  <c r="Q91" i="55"/>
  <c r="S91" i="55"/>
  <c r="Z91" i="55"/>
  <c r="AA91" i="55"/>
  <c r="AC91" i="55"/>
  <c r="L92" i="55"/>
  <c r="G92" i="55" s="1"/>
  <c r="R92" i="55" s="1"/>
  <c r="M92" i="55"/>
  <c r="P92" i="55"/>
  <c r="Q92" i="55"/>
  <c r="L93" i="55"/>
  <c r="M93" i="55"/>
  <c r="P93" i="55"/>
  <c r="Q93" i="55"/>
  <c r="S93" i="55"/>
  <c r="Z93" i="55"/>
  <c r="AA93" i="55"/>
  <c r="AC93" i="55"/>
  <c r="L94" i="55"/>
  <c r="G94" i="55" s="1"/>
  <c r="R94" i="55" s="1"/>
  <c r="M94" i="55"/>
  <c r="P94" i="55"/>
  <c r="Q94" i="55"/>
  <c r="L95" i="55"/>
  <c r="M95" i="55"/>
  <c r="P95" i="55"/>
  <c r="Q95" i="55"/>
  <c r="S95" i="55"/>
  <c r="Z95" i="55"/>
  <c r="AA95" i="55"/>
  <c r="AC95" i="55"/>
  <c r="L96" i="55"/>
  <c r="G96" i="55" s="1"/>
  <c r="R96" i="55" s="1"/>
  <c r="M96" i="55"/>
  <c r="P96" i="55"/>
  <c r="Q96" i="55"/>
  <c r="L97" i="55"/>
  <c r="U97" i="55" s="1"/>
  <c r="M97" i="55"/>
  <c r="P97" i="55"/>
  <c r="Q97" i="55"/>
  <c r="S97" i="55"/>
  <c r="Z97" i="55"/>
  <c r="AA97" i="55"/>
  <c r="AC97" i="55"/>
  <c r="L98" i="55"/>
  <c r="G98" i="55" s="1"/>
  <c r="R98" i="55" s="1"/>
  <c r="M98" i="55"/>
  <c r="P98" i="55"/>
  <c r="Q98" i="55"/>
  <c r="L99" i="55"/>
  <c r="G99" i="55" s="1"/>
  <c r="R99" i="55" s="1"/>
  <c r="M99" i="55"/>
  <c r="P99" i="55"/>
  <c r="Q99" i="55"/>
  <c r="S99" i="55"/>
  <c r="Z99" i="55"/>
  <c r="L100" i="55"/>
  <c r="M100" i="55"/>
  <c r="P100" i="55"/>
  <c r="Q100" i="55"/>
  <c r="L101" i="55"/>
  <c r="G101" i="55" s="1"/>
  <c r="R101" i="55" s="1"/>
  <c r="M101" i="55"/>
  <c r="P101" i="55"/>
  <c r="Q101" i="55"/>
  <c r="S101" i="55"/>
  <c r="Z101" i="55"/>
  <c r="AA101" i="55"/>
  <c r="AC101" i="55"/>
  <c r="L102" i="55"/>
  <c r="M102" i="55"/>
  <c r="P102" i="55"/>
  <c r="Q102" i="55"/>
  <c r="L103" i="55"/>
  <c r="M103" i="55"/>
  <c r="P103" i="55"/>
  <c r="Q103" i="55"/>
  <c r="S103" i="55"/>
  <c r="Z103" i="55"/>
  <c r="AA103" i="55"/>
  <c r="AC103" i="55"/>
  <c r="L104" i="55"/>
  <c r="M104" i="55"/>
  <c r="P104" i="55"/>
  <c r="Q104" i="55"/>
  <c r="L105" i="55"/>
  <c r="M105" i="55"/>
  <c r="P105" i="55"/>
  <c r="Q105" i="55"/>
  <c r="S105" i="55"/>
  <c r="Z105" i="55"/>
  <c r="AA105" i="55"/>
  <c r="AC105" i="55"/>
  <c r="L106" i="55"/>
  <c r="M106" i="55"/>
  <c r="P106" i="55"/>
  <c r="Q106" i="55"/>
  <c r="L107" i="55"/>
  <c r="G107" i="55" s="1"/>
  <c r="R107" i="55" s="1"/>
  <c r="M107" i="55"/>
  <c r="P107" i="55"/>
  <c r="Q107" i="55"/>
  <c r="S107" i="55"/>
  <c r="Z107" i="55"/>
  <c r="AA107" i="55"/>
  <c r="AC107" i="55"/>
  <c r="L108" i="55"/>
  <c r="M108" i="55"/>
  <c r="P108" i="55"/>
  <c r="Q108" i="55"/>
  <c r="L109" i="55"/>
  <c r="U109" i="55" s="1"/>
  <c r="M109" i="55"/>
  <c r="P109" i="55"/>
  <c r="Q109" i="55"/>
  <c r="S109" i="55"/>
  <c r="Z109" i="55"/>
  <c r="AA109" i="55"/>
  <c r="AC109" i="55"/>
  <c r="L110" i="55"/>
  <c r="G110" i="55" s="1"/>
  <c r="R110" i="55" s="1"/>
  <c r="M110" i="55"/>
  <c r="P110" i="55"/>
  <c r="Q110" i="55"/>
  <c r="L111" i="55"/>
  <c r="M111" i="55"/>
  <c r="P111" i="55"/>
  <c r="Q111" i="55"/>
  <c r="S111" i="55"/>
  <c r="Z111" i="55"/>
  <c r="AA111" i="55"/>
  <c r="AC111" i="55"/>
  <c r="L112" i="55"/>
  <c r="G112" i="55" s="1"/>
  <c r="R112" i="55" s="1"/>
  <c r="M112" i="55"/>
  <c r="P112" i="55"/>
  <c r="Q112" i="55"/>
  <c r="L113" i="55"/>
  <c r="G113" i="55" s="1"/>
  <c r="R113" i="55" s="1"/>
  <c r="M113" i="55"/>
  <c r="P113" i="55"/>
  <c r="Q113" i="55"/>
  <c r="S113" i="55"/>
  <c r="Z113" i="55"/>
  <c r="AA113" i="55"/>
  <c r="AC113" i="55"/>
  <c r="L114" i="55"/>
  <c r="M114" i="55"/>
  <c r="P114" i="55"/>
  <c r="Q114" i="55"/>
  <c r="L115" i="55"/>
  <c r="M115" i="55"/>
  <c r="P115" i="55"/>
  <c r="Q115" i="55"/>
  <c r="S115" i="55"/>
  <c r="Z115" i="55"/>
  <c r="AA115" i="55"/>
  <c r="AC115" i="55"/>
  <c r="L116" i="55"/>
  <c r="M116" i="55"/>
  <c r="P116" i="55"/>
  <c r="Q116" i="55"/>
  <c r="L117" i="55"/>
  <c r="U117" i="55" s="1"/>
  <c r="M117" i="55"/>
  <c r="P117" i="55"/>
  <c r="Q117" i="55"/>
  <c r="S117" i="55"/>
  <c r="Z117" i="55"/>
  <c r="AA117" i="55"/>
  <c r="AC117" i="55"/>
  <c r="L118" i="55"/>
  <c r="G118" i="55" s="1"/>
  <c r="R118" i="55" s="1"/>
  <c r="M118" i="55"/>
  <c r="P118" i="55"/>
  <c r="Q118" i="55"/>
  <c r="L119" i="55"/>
  <c r="U119" i="55" s="1"/>
  <c r="M119" i="55"/>
  <c r="P119" i="55"/>
  <c r="Q119" i="55"/>
  <c r="S119" i="55"/>
  <c r="Z119" i="55"/>
  <c r="AA119" i="55"/>
  <c r="AC119" i="55"/>
  <c r="L120" i="55"/>
  <c r="M120" i="55"/>
  <c r="P120" i="55"/>
  <c r="Q120" i="55"/>
  <c r="L121" i="55"/>
  <c r="U121" i="55" s="1"/>
  <c r="M121" i="55"/>
  <c r="P121" i="55"/>
  <c r="Q121" i="55"/>
  <c r="S121" i="55"/>
  <c r="Z121" i="55"/>
  <c r="AA121" i="55"/>
  <c r="AC121" i="55"/>
  <c r="L122" i="55"/>
  <c r="G122" i="55" s="1"/>
  <c r="R122" i="55" s="1"/>
  <c r="M122" i="55"/>
  <c r="P122" i="55"/>
  <c r="Q122" i="55"/>
  <c r="L123" i="55"/>
  <c r="M123" i="55"/>
  <c r="P123" i="55"/>
  <c r="Q123" i="55"/>
  <c r="S123" i="55"/>
  <c r="Z123" i="55"/>
  <c r="AA123" i="55"/>
  <c r="AC123" i="55"/>
  <c r="L124" i="55"/>
  <c r="M124" i="55"/>
  <c r="P124" i="55"/>
  <c r="Q124" i="55"/>
  <c r="L125" i="55"/>
  <c r="U125" i="55" s="1"/>
  <c r="M125" i="55"/>
  <c r="P125" i="55"/>
  <c r="Q125" i="55"/>
  <c r="S125" i="55"/>
  <c r="Z125" i="55"/>
  <c r="AA125" i="55"/>
  <c r="AC125" i="55"/>
  <c r="L126" i="55"/>
  <c r="G126" i="55" s="1"/>
  <c r="R126" i="55" s="1"/>
  <c r="M126" i="55"/>
  <c r="P126" i="55"/>
  <c r="Q126" i="55"/>
  <c r="L127" i="55"/>
  <c r="G127" i="55" s="1"/>
  <c r="R127" i="55" s="1"/>
  <c r="M127" i="55"/>
  <c r="P127" i="55"/>
  <c r="Q127" i="55"/>
  <c r="S127" i="55"/>
  <c r="Z127" i="55"/>
  <c r="AA127" i="55"/>
  <c r="AC127" i="55"/>
  <c r="L128" i="55"/>
  <c r="G128" i="55" s="1"/>
  <c r="R128" i="55" s="1"/>
  <c r="M128" i="55"/>
  <c r="P128" i="55"/>
  <c r="Q128" i="55"/>
  <c r="L129" i="55"/>
  <c r="U129" i="55" s="1"/>
  <c r="M129" i="55"/>
  <c r="P129" i="55"/>
  <c r="Q129" i="55"/>
  <c r="S129" i="55"/>
  <c r="Z129" i="55"/>
  <c r="AA129" i="55"/>
  <c r="AC129" i="55"/>
  <c r="L130" i="55"/>
  <c r="G130" i="55" s="1"/>
  <c r="R130" i="55" s="1"/>
  <c r="M130" i="55"/>
  <c r="P130" i="55"/>
  <c r="Q130" i="55"/>
  <c r="L131" i="55"/>
  <c r="G131" i="55" s="1"/>
  <c r="R131" i="55" s="1"/>
  <c r="M131" i="55"/>
  <c r="P131" i="55"/>
  <c r="Q131" i="55"/>
  <c r="S131" i="55"/>
  <c r="Z131" i="55"/>
  <c r="AA131" i="55"/>
  <c r="AC131" i="55"/>
  <c r="L132" i="55"/>
  <c r="G132" i="55" s="1"/>
  <c r="R132" i="55" s="1"/>
  <c r="M132" i="55"/>
  <c r="P132" i="55"/>
  <c r="Q132" i="55"/>
  <c r="L133" i="55"/>
  <c r="U133" i="55" s="1"/>
  <c r="M133" i="55"/>
  <c r="P133" i="55"/>
  <c r="Q133" i="55"/>
  <c r="S133" i="55"/>
  <c r="Z133" i="55"/>
  <c r="AA133" i="55"/>
  <c r="AC133" i="55"/>
  <c r="L134" i="55"/>
  <c r="G134" i="55" s="1"/>
  <c r="R134" i="55" s="1"/>
  <c r="M134" i="55"/>
  <c r="P134" i="55"/>
  <c r="Q134" i="55"/>
  <c r="L135" i="55"/>
  <c r="M135" i="55"/>
  <c r="P135" i="55"/>
  <c r="Q135" i="55"/>
  <c r="S135" i="55"/>
  <c r="Z135" i="55"/>
  <c r="AA135" i="55"/>
  <c r="AC135" i="55"/>
  <c r="L136" i="55"/>
  <c r="G136" i="55" s="1"/>
  <c r="R136" i="55" s="1"/>
  <c r="M136" i="55"/>
  <c r="P136" i="55"/>
  <c r="Q136" i="55"/>
  <c r="L137" i="55"/>
  <c r="M137" i="55"/>
  <c r="P137" i="55"/>
  <c r="Q137" i="55"/>
  <c r="S137" i="55"/>
  <c r="Z137" i="55"/>
  <c r="AA137" i="55"/>
  <c r="AC137" i="55"/>
  <c r="L138" i="55"/>
  <c r="G138" i="55" s="1"/>
  <c r="R138" i="55" s="1"/>
  <c r="M138" i="55"/>
  <c r="P138" i="55"/>
  <c r="Q138" i="55"/>
  <c r="L139" i="55"/>
  <c r="G139" i="55" s="1"/>
  <c r="R139" i="55" s="1"/>
  <c r="M139" i="55"/>
  <c r="P139" i="55"/>
  <c r="Q139" i="55"/>
  <c r="S139" i="55"/>
  <c r="Z139" i="55"/>
  <c r="L140" i="55"/>
  <c r="G140" i="55" s="1"/>
  <c r="R140" i="55" s="1"/>
  <c r="M140" i="55"/>
  <c r="P140" i="55"/>
  <c r="Q140" i="55"/>
  <c r="L141" i="55"/>
  <c r="G141" i="55" s="1"/>
  <c r="R141" i="55" s="1"/>
  <c r="M141" i="55"/>
  <c r="P141" i="55"/>
  <c r="Q141" i="55"/>
  <c r="S141" i="55"/>
  <c r="Z141" i="55"/>
  <c r="L142" i="55"/>
  <c r="G142" i="55" s="1"/>
  <c r="R142" i="55" s="1"/>
  <c r="M142" i="55"/>
  <c r="P142" i="55"/>
  <c r="Q142" i="55"/>
  <c r="L143" i="55"/>
  <c r="M143" i="55"/>
  <c r="P143" i="55"/>
  <c r="Q143" i="55"/>
  <c r="S143" i="55"/>
  <c r="Z143" i="55"/>
  <c r="AA143" i="55"/>
  <c r="AC143" i="55"/>
  <c r="A144" i="55"/>
  <c r="G144" i="55"/>
  <c r="U144" i="55" s="1"/>
  <c r="L148" i="55"/>
  <c r="G148" i="55" s="1"/>
  <c r="R148" i="55" s="1"/>
  <c r="M148" i="55"/>
  <c r="P148" i="55"/>
  <c r="Q148" i="55"/>
  <c r="L149" i="55"/>
  <c r="M149" i="55"/>
  <c r="P149" i="55"/>
  <c r="Q149" i="55"/>
  <c r="S149" i="55"/>
  <c r="Z149" i="55"/>
  <c r="AA149" i="55"/>
  <c r="AC149" i="55"/>
  <c r="L150" i="55"/>
  <c r="G150" i="55" s="1"/>
  <c r="R150" i="55" s="1"/>
  <c r="M150" i="55"/>
  <c r="P150" i="55"/>
  <c r="Q150" i="55"/>
  <c r="L151" i="55"/>
  <c r="M151" i="55"/>
  <c r="P151" i="55"/>
  <c r="Q151" i="55"/>
  <c r="S151" i="55"/>
  <c r="Z151" i="55"/>
  <c r="AA151" i="55"/>
  <c r="AC151" i="55"/>
  <c r="L152" i="55"/>
  <c r="G152" i="55" s="1"/>
  <c r="R152" i="55" s="1"/>
  <c r="M152" i="55"/>
  <c r="P152" i="55"/>
  <c r="Q152" i="55"/>
  <c r="L153" i="55"/>
  <c r="G153" i="55" s="1"/>
  <c r="R153" i="55" s="1"/>
  <c r="M153" i="55"/>
  <c r="P153" i="55"/>
  <c r="Q153" i="55"/>
  <c r="S153" i="55"/>
  <c r="Z153" i="55"/>
  <c r="AA153" i="55"/>
  <c r="AC153" i="55"/>
  <c r="L154" i="55"/>
  <c r="G154" i="55" s="1"/>
  <c r="R154" i="55" s="1"/>
  <c r="M154" i="55"/>
  <c r="P154" i="55"/>
  <c r="Q154" i="55"/>
  <c r="L155" i="55"/>
  <c r="U155" i="55" s="1"/>
  <c r="M155" i="55"/>
  <c r="P155" i="55"/>
  <c r="Q155" i="55"/>
  <c r="S155" i="55"/>
  <c r="Z155" i="55"/>
  <c r="AA155" i="55"/>
  <c r="AC155" i="55"/>
  <c r="L156" i="55"/>
  <c r="G156" i="55" s="1"/>
  <c r="R156" i="55" s="1"/>
  <c r="M156" i="55"/>
  <c r="P156" i="55"/>
  <c r="Q156" i="55"/>
  <c r="L157" i="55"/>
  <c r="U157" i="55" s="1"/>
  <c r="M157" i="55"/>
  <c r="P157" i="55"/>
  <c r="Q157" i="55"/>
  <c r="S157" i="55"/>
  <c r="Z157" i="55"/>
  <c r="AA157" i="55"/>
  <c r="AC157" i="55"/>
  <c r="L158" i="55"/>
  <c r="G158" i="55" s="1"/>
  <c r="R158" i="55" s="1"/>
  <c r="M158" i="55"/>
  <c r="P158" i="55"/>
  <c r="Q158" i="55"/>
  <c r="L159" i="55"/>
  <c r="M159" i="55"/>
  <c r="P159" i="55"/>
  <c r="Q159" i="55"/>
  <c r="S159" i="55"/>
  <c r="Z159" i="55"/>
  <c r="AA159" i="55"/>
  <c r="AC159" i="55"/>
  <c r="L160" i="55"/>
  <c r="G160" i="55" s="1"/>
  <c r="R160" i="55" s="1"/>
  <c r="M160" i="55"/>
  <c r="P160" i="55"/>
  <c r="Q160" i="55"/>
  <c r="L161" i="55"/>
  <c r="G161" i="55" s="1"/>
  <c r="R161" i="55" s="1"/>
  <c r="M161" i="55"/>
  <c r="P161" i="55"/>
  <c r="Q161" i="55"/>
  <c r="S161" i="55"/>
  <c r="Z161" i="55"/>
  <c r="AA161" i="55"/>
  <c r="AC161" i="55"/>
  <c r="L162" i="55"/>
  <c r="G162" i="55" s="1"/>
  <c r="R162" i="55" s="1"/>
  <c r="M162" i="55"/>
  <c r="P162" i="55"/>
  <c r="Q162" i="55"/>
  <c r="L163" i="55"/>
  <c r="G163" i="55" s="1"/>
  <c r="R163" i="55" s="1"/>
  <c r="M163" i="55"/>
  <c r="P163" i="55"/>
  <c r="Q163" i="55"/>
  <c r="S163" i="55"/>
  <c r="Z163" i="55"/>
  <c r="AA163" i="55"/>
  <c r="AC163" i="55"/>
  <c r="L164" i="55"/>
  <c r="G164" i="55" s="1"/>
  <c r="R164" i="55" s="1"/>
  <c r="M164" i="55"/>
  <c r="P164" i="55"/>
  <c r="Q164" i="55"/>
  <c r="L165" i="55"/>
  <c r="M165" i="55"/>
  <c r="P165" i="55"/>
  <c r="Q165" i="55"/>
  <c r="S165" i="55"/>
  <c r="Z165" i="55"/>
  <c r="AA165" i="55"/>
  <c r="AC165" i="55"/>
  <c r="L166" i="55"/>
  <c r="G166" i="55" s="1"/>
  <c r="R166" i="55" s="1"/>
  <c r="M166" i="55"/>
  <c r="P166" i="55"/>
  <c r="Q166" i="55"/>
  <c r="L167" i="55"/>
  <c r="M167" i="55"/>
  <c r="P167" i="55"/>
  <c r="Q167" i="55"/>
  <c r="S167" i="55"/>
  <c r="Z167" i="55"/>
  <c r="AA167" i="55"/>
  <c r="AC167" i="55"/>
  <c r="L168" i="55"/>
  <c r="G168" i="55" s="1"/>
  <c r="R168" i="55" s="1"/>
  <c r="M168" i="55"/>
  <c r="P168" i="55"/>
  <c r="Q168" i="55"/>
  <c r="L169" i="55"/>
  <c r="G169" i="55" s="1"/>
  <c r="R169" i="55" s="1"/>
  <c r="M169" i="55"/>
  <c r="P169" i="55"/>
  <c r="Q169" i="55"/>
  <c r="S169" i="55"/>
  <c r="Z169" i="55"/>
  <c r="AA169" i="55"/>
  <c r="AC169" i="55"/>
  <c r="L170" i="55"/>
  <c r="G170" i="55" s="1"/>
  <c r="R170" i="55" s="1"/>
  <c r="M170" i="55"/>
  <c r="P170" i="55"/>
  <c r="Q170" i="55"/>
  <c r="L171" i="55"/>
  <c r="M171" i="55"/>
  <c r="P171" i="55"/>
  <c r="Q171" i="55"/>
  <c r="S171" i="55"/>
  <c r="Z171" i="55"/>
  <c r="AA171" i="55"/>
  <c r="AC171" i="55"/>
  <c r="L172" i="55"/>
  <c r="M172" i="55"/>
  <c r="P172" i="55"/>
  <c r="Q172" i="55"/>
  <c r="L173" i="55"/>
  <c r="U173" i="55" s="1"/>
  <c r="M173" i="55"/>
  <c r="P173" i="55"/>
  <c r="Q173" i="55"/>
  <c r="S173" i="55"/>
  <c r="Z173" i="55"/>
  <c r="AA173" i="55"/>
  <c r="AC173" i="55"/>
  <c r="L174" i="55"/>
  <c r="G174" i="55" s="1"/>
  <c r="R174" i="55" s="1"/>
  <c r="M174" i="55"/>
  <c r="P174" i="55"/>
  <c r="Q174" i="55"/>
  <c r="L175" i="55"/>
  <c r="M175" i="55"/>
  <c r="P175" i="55"/>
  <c r="Q175" i="55"/>
  <c r="S175" i="55"/>
  <c r="Z175" i="55"/>
  <c r="AA175" i="55"/>
  <c r="AC175" i="55"/>
  <c r="L176" i="55"/>
  <c r="G176" i="55" s="1"/>
  <c r="R176" i="55" s="1"/>
  <c r="M176" i="55"/>
  <c r="P176" i="55"/>
  <c r="Q176" i="55"/>
  <c r="L177" i="55"/>
  <c r="G177" i="55" s="1"/>
  <c r="R177" i="55" s="1"/>
  <c r="M177" i="55"/>
  <c r="P177" i="55"/>
  <c r="Q177" i="55"/>
  <c r="S177" i="55"/>
  <c r="Z177" i="55"/>
  <c r="AA177" i="55"/>
  <c r="AC177" i="55"/>
  <c r="L178" i="55"/>
  <c r="M178" i="55"/>
  <c r="P178" i="55"/>
  <c r="Q178" i="55"/>
  <c r="L179" i="55"/>
  <c r="M179" i="55"/>
  <c r="P179" i="55"/>
  <c r="Q179" i="55"/>
  <c r="S179" i="55"/>
  <c r="Z179" i="55"/>
  <c r="AA179" i="55"/>
  <c r="AC179" i="55"/>
  <c r="L180" i="55"/>
  <c r="G180" i="55" s="1"/>
  <c r="R180" i="55" s="1"/>
  <c r="M180" i="55"/>
  <c r="P180" i="55"/>
  <c r="Q180" i="55"/>
  <c r="L181" i="55"/>
  <c r="G181" i="55" s="1"/>
  <c r="R181" i="55" s="1"/>
  <c r="M181" i="55"/>
  <c r="P181" i="55"/>
  <c r="Q181" i="55"/>
  <c r="S181" i="55"/>
  <c r="Z181" i="55"/>
  <c r="AA181" i="55"/>
  <c r="AC181" i="55"/>
  <c r="L182" i="55"/>
  <c r="G182" i="55" s="1"/>
  <c r="R182" i="55" s="1"/>
  <c r="M182" i="55"/>
  <c r="P182" i="55"/>
  <c r="Q182" i="55"/>
  <c r="L183" i="55"/>
  <c r="M183" i="55"/>
  <c r="P183" i="55"/>
  <c r="Q183" i="55"/>
  <c r="S183" i="55"/>
  <c r="Z183" i="55"/>
  <c r="AA183" i="55"/>
  <c r="AC183" i="55"/>
  <c r="L184" i="55"/>
  <c r="M184" i="55"/>
  <c r="P184" i="55"/>
  <c r="Q184" i="55"/>
  <c r="L185" i="55"/>
  <c r="M185" i="55"/>
  <c r="P185" i="55"/>
  <c r="Q185" i="55"/>
  <c r="S185" i="55"/>
  <c r="Z185" i="55"/>
  <c r="AA185" i="55"/>
  <c r="AC185" i="55"/>
  <c r="L186" i="55"/>
  <c r="G186" i="55" s="1"/>
  <c r="R186" i="55" s="1"/>
  <c r="M186" i="55"/>
  <c r="P186" i="55"/>
  <c r="Q186" i="55"/>
  <c r="L187" i="55"/>
  <c r="M187" i="55"/>
  <c r="P187" i="55"/>
  <c r="Q187" i="55"/>
  <c r="S187" i="55"/>
  <c r="Z187" i="55"/>
  <c r="AA187" i="55"/>
  <c r="AC187" i="55"/>
  <c r="L188" i="55"/>
  <c r="G188" i="55" s="1"/>
  <c r="R188" i="55" s="1"/>
  <c r="M188" i="55"/>
  <c r="P188" i="55"/>
  <c r="Q188" i="55"/>
  <c r="L189" i="55"/>
  <c r="U189" i="55" s="1"/>
  <c r="M189" i="55"/>
  <c r="P189" i="55"/>
  <c r="Q189" i="55"/>
  <c r="S189" i="55"/>
  <c r="Z189" i="55"/>
  <c r="AA189" i="55"/>
  <c r="AC189" i="55"/>
  <c r="L190" i="55"/>
  <c r="G190" i="55" s="1"/>
  <c r="R190" i="55" s="1"/>
  <c r="M190" i="55"/>
  <c r="P190" i="55"/>
  <c r="Q190" i="55"/>
  <c r="L191" i="55"/>
  <c r="G191" i="55" s="1"/>
  <c r="R191" i="55" s="1"/>
  <c r="M191" i="55"/>
  <c r="P191" i="55"/>
  <c r="Q191" i="55"/>
  <c r="S191" i="55"/>
  <c r="Z191" i="55"/>
  <c r="AA191" i="55"/>
  <c r="AC191" i="55"/>
  <c r="L192" i="55"/>
  <c r="G192" i="55" s="1"/>
  <c r="R192" i="55" s="1"/>
  <c r="M192" i="55"/>
  <c r="P192" i="55"/>
  <c r="Q192" i="55"/>
  <c r="L193" i="55"/>
  <c r="U193" i="55" s="1"/>
  <c r="M193" i="55"/>
  <c r="P193" i="55"/>
  <c r="Q193" i="55"/>
  <c r="S193" i="55"/>
  <c r="Z193" i="55"/>
  <c r="AA193" i="55"/>
  <c r="AC193" i="55"/>
  <c r="L194" i="55"/>
  <c r="G194" i="55" s="1"/>
  <c r="R194" i="55" s="1"/>
  <c r="M194" i="55"/>
  <c r="P194" i="55"/>
  <c r="Q194" i="55"/>
  <c r="L195" i="55"/>
  <c r="U195" i="55" s="1"/>
  <c r="M195" i="55"/>
  <c r="P195" i="55"/>
  <c r="Q195" i="55"/>
  <c r="S195" i="55"/>
  <c r="Z195" i="55"/>
  <c r="AA195" i="55"/>
  <c r="AC195" i="55"/>
  <c r="L196" i="55"/>
  <c r="G196" i="55" s="1"/>
  <c r="R196" i="55" s="1"/>
  <c r="M196" i="55"/>
  <c r="P196" i="55"/>
  <c r="Q196" i="55"/>
  <c r="L197" i="55"/>
  <c r="M197" i="55"/>
  <c r="P197" i="55"/>
  <c r="Q197" i="55"/>
  <c r="S197" i="55"/>
  <c r="Z197" i="55"/>
  <c r="AA197" i="55"/>
  <c r="AC197" i="55"/>
  <c r="L198" i="55"/>
  <c r="G198" i="55" s="1"/>
  <c r="R198" i="55" s="1"/>
  <c r="M198" i="55"/>
  <c r="P198" i="55"/>
  <c r="Q198" i="55"/>
  <c r="L199" i="55"/>
  <c r="G199" i="55" s="1"/>
  <c r="R199" i="55" s="1"/>
  <c r="M199" i="55"/>
  <c r="P199" i="55"/>
  <c r="Q199" i="55"/>
  <c r="S199" i="55"/>
  <c r="Z199" i="55"/>
  <c r="AA199" i="55"/>
  <c r="AC199" i="55"/>
  <c r="L200" i="55"/>
  <c r="G200" i="55" s="1"/>
  <c r="R200" i="55" s="1"/>
  <c r="M200" i="55"/>
  <c r="P200" i="55"/>
  <c r="Q200" i="55"/>
  <c r="L201" i="55"/>
  <c r="G201" i="55" s="1"/>
  <c r="R201" i="55" s="1"/>
  <c r="M201" i="55"/>
  <c r="P201" i="55"/>
  <c r="Q201" i="55"/>
  <c r="S201" i="55"/>
  <c r="Z201" i="55"/>
  <c r="AA201" i="55"/>
  <c r="AC201" i="55"/>
  <c r="L202" i="55"/>
  <c r="G202" i="55" s="1"/>
  <c r="R202" i="55" s="1"/>
  <c r="M202" i="55"/>
  <c r="P202" i="55"/>
  <c r="Q202" i="55"/>
  <c r="L203" i="55"/>
  <c r="G203" i="55" s="1"/>
  <c r="R203" i="55" s="1"/>
  <c r="M203" i="55"/>
  <c r="P203" i="55"/>
  <c r="Q203" i="55"/>
  <c r="S203" i="55"/>
  <c r="Z203" i="55"/>
  <c r="AA203" i="55"/>
  <c r="AC203" i="55"/>
  <c r="L204" i="55"/>
  <c r="G204" i="55" s="1"/>
  <c r="R204" i="55" s="1"/>
  <c r="M204" i="55"/>
  <c r="P204" i="55"/>
  <c r="Q204" i="55"/>
  <c r="L205" i="55"/>
  <c r="M205" i="55"/>
  <c r="P205" i="55"/>
  <c r="Q205" i="55"/>
  <c r="S205" i="55"/>
  <c r="Z205" i="55"/>
  <c r="AA205" i="55"/>
  <c r="AC205" i="55"/>
  <c r="L206" i="55"/>
  <c r="G206" i="55" s="1"/>
  <c r="R206" i="55" s="1"/>
  <c r="M206" i="55"/>
  <c r="P206" i="55"/>
  <c r="Q206" i="55"/>
  <c r="L207" i="55"/>
  <c r="M207" i="55"/>
  <c r="P207" i="55"/>
  <c r="Q207" i="55"/>
  <c r="S207" i="55"/>
  <c r="Z207" i="55"/>
  <c r="AA207" i="55"/>
  <c r="AC207" i="55"/>
  <c r="L208" i="55"/>
  <c r="G208" i="55" s="1"/>
  <c r="R208" i="55" s="1"/>
  <c r="M208" i="55"/>
  <c r="P208" i="55"/>
  <c r="Q208" i="55"/>
  <c r="L209" i="55"/>
  <c r="G209" i="55" s="1"/>
  <c r="R209" i="55" s="1"/>
  <c r="M209" i="55"/>
  <c r="P209" i="55"/>
  <c r="Q209" i="55"/>
  <c r="S209" i="55"/>
  <c r="Z209" i="55"/>
  <c r="AA209" i="55"/>
  <c r="AC209" i="55"/>
  <c r="L210" i="55"/>
  <c r="G210" i="55" s="1"/>
  <c r="R210" i="55" s="1"/>
  <c r="M210" i="55"/>
  <c r="P210" i="55"/>
  <c r="Q210" i="55"/>
  <c r="L211" i="55"/>
  <c r="M211" i="55"/>
  <c r="P211" i="55"/>
  <c r="Q211" i="55"/>
  <c r="S211" i="55"/>
  <c r="Z211" i="55"/>
  <c r="AA211" i="55"/>
  <c r="AC211" i="55"/>
  <c r="L212" i="55"/>
  <c r="G212" i="55" s="1"/>
  <c r="R212" i="55" s="1"/>
  <c r="M212" i="55"/>
  <c r="P212" i="55"/>
  <c r="Q212" i="55"/>
  <c r="L213" i="55"/>
  <c r="U213" i="55" s="1"/>
  <c r="M213" i="55"/>
  <c r="P213" i="55"/>
  <c r="Q213" i="55"/>
  <c r="S213" i="55"/>
  <c r="Z213" i="55"/>
  <c r="AA213" i="55"/>
  <c r="AC213" i="55"/>
  <c r="L216" i="55"/>
  <c r="G216" i="55" s="1"/>
  <c r="R216" i="55" s="1"/>
  <c r="M216" i="55"/>
  <c r="P216" i="55"/>
  <c r="Q216" i="55"/>
  <c r="U216" i="55"/>
  <c r="L217" i="55"/>
  <c r="U217" i="55" s="1"/>
  <c r="M217" i="55"/>
  <c r="P217" i="55"/>
  <c r="Q217" i="55"/>
  <c r="S217" i="55"/>
  <c r="AD6" i="56"/>
  <c r="AD7" i="56"/>
  <c r="A8" i="56"/>
  <c r="B8" i="56" s="1"/>
  <c r="W8" i="56" s="1"/>
  <c r="AC8" i="56"/>
  <c r="Z10" i="56" s="1"/>
  <c r="AD8" i="56"/>
  <c r="L12" i="56"/>
  <c r="M12" i="56"/>
  <c r="P12" i="56"/>
  <c r="Q12" i="56"/>
  <c r="L13" i="56"/>
  <c r="M13" i="56"/>
  <c r="P13" i="56"/>
  <c r="Q13" i="56"/>
  <c r="S13" i="56"/>
  <c r="Z13" i="56"/>
  <c r="L14" i="56"/>
  <c r="G14" i="56" s="1"/>
  <c r="R14" i="56" s="1"/>
  <c r="M14" i="56"/>
  <c r="P14" i="56"/>
  <c r="Q14" i="56"/>
  <c r="L15" i="56"/>
  <c r="G15" i="56" s="1"/>
  <c r="R15" i="56" s="1"/>
  <c r="M15" i="56"/>
  <c r="P15" i="56"/>
  <c r="Q15" i="56"/>
  <c r="S15" i="56"/>
  <c r="X15" i="56"/>
  <c r="AA15" i="56"/>
  <c r="AC15" i="56"/>
  <c r="L16" i="56"/>
  <c r="M16" i="56"/>
  <c r="P16" i="56"/>
  <c r="Q16" i="56"/>
  <c r="L17" i="56"/>
  <c r="G17" i="56" s="1"/>
  <c r="R17" i="56" s="1"/>
  <c r="M17" i="56"/>
  <c r="P17" i="56"/>
  <c r="Q17" i="56"/>
  <c r="S17" i="56"/>
  <c r="Z17" i="56"/>
  <c r="AA17" i="56"/>
  <c r="AC17" i="56"/>
  <c r="L18" i="56"/>
  <c r="M18" i="56"/>
  <c r="P18" i="56"/>
  <c r="Q18" i="56"/>
  <c r="L19" i="56"/>
  <c r="G19" i="56" s="1"/>
  <c r="R19" i="56" s="1"/>
  <c r="M19" i="56"/>
  <c r="P19" i="56"/>
  <c r="Q19" i="56"/>
  <c r="S19" i="56"/>
  <c r="Z19" i="56"/>
  <c r="L20" i="56"/>
  <c r="M20" i="56"/>
  <c r="P20" i="56"/>
  <c r="Q20" i="56"/>
  <c r="L21" i="56"/>
  <c r="M21" i="56"/>
  <c r="P21" i="56"/>
  <c r="Q21" i="56"/>
  <c r="S21" i="56"/>
  <c r="Z21" i="56"/>
  <c r="Y23" i="56"/>
  <c r="AA21" i="56"/>
  <c r="AC21" i="56"/>
  <c r="L22" i="56"/>
  <c r="M22" i="56"/>
  <c r="P22" i="56"/>
  <c r="Q22" i="56"/>
  <c r="L23" i="56"/>
  <c r="M23" i="56"/>
  <c r="P23" i="56"/>
  <c r="Q23" i="56"/>
  <c r="S23" i="56"/>
  <c r="X23" i="56"/>
  <c r="AA23" i="56"/>
  <c r="AC23" i="56"/>
  <c r="L24" i="56"/>
  <c r="M24" i="56"/>
  <c r="P24" i="56"/>
  <c r="Q24" i="56"/>
  <c r="L25" i="56"/>
  <c r="U25" i="56" s="1"/>
  <c r="M25" i="56"/>
  <c r="P25" i="56"/>
  <c r="Q25" i="56"/>
  <c r="S25" i="56"/>
  <c r="Z25" i="56"/>
  <c r="AA25" i="56"/>
  <c r="AC25" i="56"/>
  <c r="L26" i="56"/>
  <c r="M26" i="56"/>
  <c r="P26" i="56"/>
  <c r="Q26" i="56"/>
  <c r="L27" i="56"/>
  <c r="G27" i="56" s="1"/>
  <c r="R27" i="56" s="1"/>
  <c r="M27" i="56"/>
  <c r="P27" i="56"/>
  <c r="Q27" i="56"/>
  <c r="S27" i="56"/>
  <c r="Z27" i="56"/>
  <c r="L28" i="56"/>
  <c r="M28" i="56"/>
  <c r="P28" i="56"/>
  <c r="Q28" i="56"/>
  <c r="W28" i="56"/>
  <c r="L29" i="56"/>
  <c r="M29" i="56"/>
  <c r="P29" i="56"/>
  <c r="Q29" i="56"/>
  <c r="S29" i="56"/>
  <c r="W29" i="56"/>
  <c r="Z29" i="56"/>
  <c r="AA29" i="56"/>
  <c r="AC29" i="56"/>
  <c r="L30" i="56"/>
  <c r="M30" i="56"/>
  <c r="P30" i="56"/>
  <c r="Q30" i="56"/>
  <c r="L31" i="56"/>
  <c r="G31" i="56" s="1"/>
  <c r="R31" i="56" s="1"/>
  <c r="M31" i="56"/>
  <c r="P31" i="56"/>
  <c r="Q31" i="56"/>
  <c r="S31" i="56"/>
  <c r="Z31" i="56"/>
  <c r="AA31" i="56"/>
  <c r="AC31" i="56"/>
  <c r="L32" i="56"/>
  <c r="M32" i="56"/>
  <c r="P32" i="56"/>
  <c r="Q32" i="56"/>
  <c r="L33" i="56"/>
  <c r="M33" i="56"/>
  <c r="P33" i="56"/>
  <c r="Q33" i="56"/>
  <c r="S33" i="56"/>
  <c r="Z33" i="56"/>
  <c r="L34" i="56"/>
  <c r="M34" i="56"/>
  <c r="P34" i="56"/>
  <c r="Q34" i="56"/>
  <c r="L35" i="56"/>
  <c r="U35" i="56" s="1"/>
  <c r="M35" i="56"/>
  <c r="P35" i="56"/>
  <c r="Q35" i="56"/>
  <c r="S35" i="56"/>
  <c r="Z35" i="56"/>
  <c r="AA35" i="56"/>
  <c r="AC35" i="56"/>
  <c r="L36" i="56"/>
  <c r="M36" i="56"/>
  <c r="P36" i="56"/>
  <c r="Q36" i="56"/>
  <c r="L37" i="56"/>
  <c r="U37" i="56" s="1"/>
  <c r="M37" i="56"/>
  <c r="P37" i="56"/>
  <c r="Q37" i="56"/>
  <c r="S37" i="56"/>
  <c r="Z37" i="56"/>
  <c r="AA37" i="56"/>
  <c r="AC37" i="56"/>
  <c r="L38" i="56"/>
  <c r="M38" i="56"/>
  <c r="P38" i="56"/>
  <c r="Q38" i="56"/>
  <c r="L39" i="56"/>
  <c r="U39" i="56" s="1"/>
  <c r="M39" i="56"/>
  <c r="P39" i="56"/>
  <c r="Q39" i="56"/>
  <c r="S39" i="56"/>
  <c r="Z39" i="56"/>
  <c r="AA39" i="56"/>
  <c r="AC39" i="56"/>
  <c r="L40" i="56"/>
  <c r="M40" i="56"/>
  <c r="P40" i="56"/>
  <c r="Q40" i="56"/>
  <c r="L41" i="56"/>
  <c r="G41" i="56" s="1"/>
  <c r="R41" i="56" s="1"/>
  <c r="M41" i="56"/>
  <c r="P41" i="56"/>
  <c r="Q41" i="56"/>
  <c r="S41" i="56"/>
  <c r="Z41" i="56"/>
  <c r="AA41" i="56"/>
  <c r="AC41" i="56"/>
  <c r="L42" i="56"/>
  <c r="M42" i="56"/>
  <c r="P42" i="56"/>
  <c r="Q42" i="56"/>
  <c r="L43" i="56"/>
  <c r="G43" i="56" s="1"/>
  <c r="R43" i="56" s="1"/>
  <c r="M43" i="56"/>
  <c r="P43" i="56"/>
  <c r="Q43" i="56"/>
  <c r="S43" i="56"/>
  <c r="Z43" i="56"/>
  <c r="AA43" i="56"/>
  <c r="AC43" i="56"/>
  <c r="L44" i="56"/>
  <c r="M44" i="56"/>
  <c r="P44" i="56"/>
  <c r="Q44" i="56"/>
  <c r="L45" i="56"/>
  <c r="U45" i="56" s="1"/>
  <c r="M45" i="56"/>
  <c r="P45" i="56"/>
  <c r="Q45" i="56"/>
  <c r="S45" i="56"/>
  <c r="Z45" i="56"/>
  <c r="AA45" i="56"/>
  <c r="AC45" i="56"/>
  <c r="L46" i="56"/>
  <c r="M46" i="56"/>
  <c r="P46" i="56"/>
  <c r="Q46" i="56"/>
  <c r="L47" i="56"/>
  <c r="G47" i="56" s="1"/>
  <c r="R47" i="56" s="1"/>
  <c r="M47" i="56"/>
  <c r="P47" i="56"/>
  <c r="Q47" i="56"/>
  <c r="S47" i="56"/>
  <c r="Z47" i="56"/>
  <c r="AA47" i="56"/>
  <c r="AC47" i="56"/>
  <c r="L48" i="56"/>
  <c r="M48" i="56"/>
  <c r="P48" i="56"/>
  <c r="Q48" i="56"/>
  <c r="L49" i="56"/>
  <c r="U49" i="56" s="1"/>
  <c r="M49" i="56"/>
  <c r="P49" i="56"/>
  <c r="Q49" i="56"/>
  <c r="S49" i="56"/>
  <c r="Z49" i="56"/>
  <c r="AA49" i="56"/>
  <c r="AC49" i="56"/>
  <c r="L50" i="56"/>
  <c r="M50" i="56"/>
  <c r="P50" i="56"/>
  <c r="Q50" i="56"/>
  <c r="L51" i="56"/>
  <c r="U51" i="56" s="1"/>
  <c r="M51" i="56"/>
  <c r="P51" i="56"/>
  <c r="Q51" i="56"/>
  <c r="S51" i="56"/>
  <c r="Z51" i="56"/>
  <c r="AA51" i="56"/>
  <c r="AC51" i="56"/>
  <c r="L52" i="56"/>
  <c r="M52" i="56"/>
  <c r="P52" i="56"/>
  <c r="Q52" i="56"/>
  <c r="L53" i="56"/>
  <c r="G53" i="56" s="1"/>
  <c r="R53" i="56" s="1"/>
  <c r="M53" i="56"/>
  <c r="P53" i="56"/>
  <c r="Q53" i="56"/>
  <c r="S53" i="56"/>
  <c r="Z53" i="56"/>
  <c r="AA53" i="56"/>
  <c r="AC53" i="56"/>
  <c r="L54" i="56"/>
  <c r="M54" i="56"/>
  <c r="P54" i="56"/>
  <c r="Q54" i="56"/>
  <c r="L55" i="56"/>
  <c r="U55" i="56" s="1"/>
  <c r="M55" i="56"/>
  <c r="P55" i="56"/>
  <c r="Q55" i="56"/>
  <c r="S55" i="56"/>
  <c r="Z55" i="56"/>
  <c r="AA55" i="56"/>
  <c r="AC55" i="56"/>
  <c r="L56" i="56"/>
  <c r="M56" i="56"/>
  <c r="P56" i="56"/>
  <c r="Q56" i="56"/>
  <c r="L57" i="56"/>
  <c r="U57" i="56" s="1"/>
  <c r="M57" i="56"/>
  <c r="P57" i="56"/>
  <c r="Q57" i="56"/>
  <c r="S57" i="56"/>
  <c r="Z57" i="56"/>
  <c r="AA57" i="56"/>
  <c r="AC57" i="56"/>
  <c r="L58" i="56"/>
  <c r="M58" i="56"/>
  <c r="P58" i="56"/>
  <c r="Q58" i="56"/>
  <c r="L59" i="56"/>
  <c r="U59" i="56" s="1"/>
  <c r="M59" i="56"/>
  <c r="P59" i="56"/>
  <c r="Q59" i="56"/>
  <c r="S59" i="56"/>
  <c r="Z59" i="56"/>
  <c r="AA59" i="56"/>
  <c r="AC59" i="56"/>
  <c r="L60" i="56"/>
  <c r="M60" i="56"/>
  <c r="P60" i="56"/>
  <c r="Q60" i="56"/>
  <c r="L61" i="56"/>
  <c r="U61" i="56" s="1"/>
  <c r="M61" i="56"/>
  <c r="P61" i="56"/>
  <c r="Q61" i="56"/>
  <c r="S61" i="56"/>
  <c r="Z61" i="56"/>
  <c r="AA61" i="56"/>
  <c r="AC61" i="56"/>
  <c r="L62" i="56"/>
  <c r="M62" i="56"/>
  <c r="P62" i="56"/>
  <c r="Q62" i="56"/>
  <c r="L63" i="56"/>
  <c r="U63" i="56" s="1"/>
  <c r="M63" i="56"/>
  <c r="P63" i="56"/>
  <c r="Q63" i="56"/>
  <c r="S63" i="56"/>
  <c r="Z63" i="56"/>
  <c r="AA63" i="56"/>
  <c r="AC63" i="56"/>
  <c r="L64" i="56"/>
  <c r="M64" i="56"/>
  <c r="P64" i="56"/>
  <c r="Q64" i="56"/>
  <c r="L65" i="56"/>
  <c r="G65" i="56" s="1"/>
  <c r="R65" i="56" s="1"/>
  <c r="M65" i="56"/>
  <c r="P65" i="56"/>
  <c r="Q65" i="56"/>
  <c r="S65" i="56"/>
  <c r="Z65" i="56"/>
  <c r="AA65" i="56"/>
  <c r="AC65" i="56"/>
  <c r="L66" i="56"/>
  <c r="M66" i="56"/>
  <c r="P66" i="56"/>
  <c r="Q66" i="56"/>
  <c r="L67" i="56"/>
  <c r="G67" i="56" s="1"/>
  <c r="R67" i="56" s="1"/>
  <c r="M67" i="56"/>
  <c r="P67" i="56"/>
  <c r="Q67" i="56"/>
  <c r="S67" i="56"/>
  <c r="Z67" i="56"/>
  <c r="AA67" i="56"/>
  <c r="AC67" i="56"/>
  <c r="L68" i="56"/>
  <c r="M68" i="56"/>
  <c r="P68" i="56"/>
  <c r="Q68" i="56"/>
  <c r="L69" i="56"/>
  <c r="G69" i="56" s="1"/>
  <c r="R69" i="56" s="1"/>
  <c r="M69" i="56"/>
  <c r="P69" i="56"/>
  <c r="Q69" i="56"/>
  <c r="S69" i="56"/>
  <c r="Z69" i="56"/>
  <c r="L70" i="56"/>
  <c r="M70" i="56"/>
  <c r="P70" i="56"/>
  <c r="Q70" i="56"/>
  <c r="L71" i="56"/>
  <c r="G71" i="56" s="1"/>
  <c r="R71" i="56" s="1"/>
  <c r="M71" i="56"/>
  <c r="P71" i="56"/>
  <c r="Q71" i="56"/>
  <c r="S71" i="56"/>
  <c r="Z71" i="56"/>
  <c r="L72" i="56"/>
  <c r="M72" i="56"/>
  <c r="P72" i="56"/>
  <c r="Q72" i="56"/>
  <c r="L73" i="56"/>
  <c r="U73" i="56" s="1"/>
  <c r="M73" i="56"/>
  <c r="P73" i="56"/>
  <c r="Q73" i="56"/>
  <c r="S73" i="56"/>
  <c r="Z73" i="56"/>
  <c r="AA73" i="56"/>
  <c r="AC73" i="56"/>
  <c r="A74" i="56"/>
  <c r="U74" i="56"/>
  <c r="L78" i="56"/>
  <c r="M78" i="56"/>
  <c r="P78" i="56"/>
  <c r="Q78" i="56"/>
  <c r="L79" i="56"/>
  <c r="G79" i="56" s="1"/>
  <c r="R79" i="56" s="1"/>
  <c r="M79" i="56"/>
  <c r="P79" i="56"/>
  <c r="Q79" i="56"/>
  <c r="S79" i="56"/>
  <c r="Z79" i="56"/>
  <c r="AA79" i="56"/>
  <c r="AC79" i="56"/>
  <c r="L80" i="56"/>
  <c r="M80" i="56"/>
  <c r="P80" i="56"/>
  <c r="Q80" i="56"/>
  <c r="L81" i="56"/>
  <c r="M81" i="56"/>
  <c r="P81" i="56"/>
  <c r="Q81" i="56"/>
  <c r="S81" i="56"/>
  <c r="Z81" i="56"/>
  <c r="AA81" i="56"/>
  <c r="AC81" i="56"/>
  <c r="L82" i="56"/>
  <c r="M82" i="56"/>
  <c r="P82" i="56"/>
  <c r="Q82" i="56"/>
  <c r="L83" i="56"/>
  <c r="U83" i="56" s="1"/>
  <c r="M83" i="56"/>
  <c r="P83" i="56"/>
  <c r="Q83" i="56"/>
  <c r="S83" i="56"/>
  <c r="Z83" i="56"/>
  <c r="AA83" i="56"/>
  <c r="AC83" i="56"/>
  <c r="L84" i="56"/>
  <c r="M84" i="56"/>
  <c r="P84" i="56"/>
  <c r="Q84" i="56"/>
  <c r="L85" i="56"/>
  <c r="G85" i="56" s="1"/>
  <c r="R85" i="56" s="1"/>
  <c r="M85" i="56"/>
  <c r="P85" i="56"/>
  <c r="Q85" i="56"/>
  <c r="S85" i="56"/>
  <c r="Z85" i="56"/>
  <c r="AA85" i="56"/>
  <c r="AC85" i="56"/>
  <c r="L86" i="56"/>
  <c r="M86" i="56"/>
  <c r="P86" i="56"/>
  <c r="Q86" i="56"/>
  <c r="L87" i="56"/>
  <c r="M87" i="56"/>
  <c r="P87" i="56"/>
  <c r="Q87" i="56"/>
  <c r="S87" i="56"/>
  <c r="Z87" i="56"/>
  <c r="AA87" i="56"/>
  <c r="AC87" i="56"/>
  <c r="L88" i="56"/>
  <c r="M88" i="56"/>
  <c r="P88" i="56"/>
  <c r="Q88" i="56"/>
  <c r="L89" i="56"/>
  <c r="M89" i="56"/>
  <c r="P89" i="56"/>
  <c r="Q89" i="56"/>
  <c r="S89" i="56"/>
  <c r="Z89" i="56"/>
  <c r="AA89" i="56"/>
  <c r="AC89" i="56"/>
  <c r="L90" i="56"/>
  <c r="M90" i="56"/>
  <c r="P90" i="56"/>
  <c r="Q90" i="56"/>
  <c r="L91" i="56"/>
  <c r="U91" i="56" s="1"/>
  <c r="M91" i="56"/>
  <c r="P91" i="56"/>
  <c r="Q91" i="56"/>
  <c r="S91" i="56"/>
  <c r="Z91" i="56"/>
  <c r="AA91" i="56"/>
  <c r="AC91" i="56"/>
  <c r="L92" i="56"/>
  <c r="M92" i="56"/>
  <c r="P92" i="56"/>
  <c r="Q92" i="56"/>
  <c r="L93" i="56"/>
  <c r="M93" i="56"/>
  <c r="P93" i="56"/>
  <c r="Q93" i="56"/>
  <c r="S93" i="56"/>
  <c r="Z93" i="56"/>
  <c r="AA93" i="56"/>
  <c r="AC93" i="56"/>
  <c r="L94" i="56"/>
  <c r="M94" i="56"/>
  <c r="P94" i="56"/>
  <c r="Q94" i="56"/>
  <c r="L95" i="56"/>
  <c r="G95" i="56" s="1"/>
  <c r="R95" i="56" s="1"/>
  <c r="M95" i="56"/>
  <c r="P95" i="56"/>
  <c r="Q95" i="56"/>
  <c r="S95" i="56"/>
  <c r="Z95" i="56"/>
  <c r="AA95" i="56"/>
  <c r="AC95" i="56"/>
  <c r="L96" i="56"/>
  <c r="M96" i="56"/>
  <c r="P96" i="56"/>
  <c r="Q96" i="56"/>
  <c r="L97" i="56"/>
  <c r="U97" i="56" s="1"/>
  <c r="M97" i="56"/>
  <c r="P97" i="56"/>
  <c r="Q97" i="56"/>
  <c r="S97" i="56"/>
  <c r="Z97" i="56"/>
  <c r="AA97" i="56"/>
  <c r="AC97" i="56"/>
  <c r="L98" i="56"/>
  <c r="M98" i="56"/>
  <c r="P98" i="56"/>
  <c r="Q98" i="56"/>
  <c r="L99" i="56"/>
  <c r="U99" i="56" s="1"/>
  <c r="M99" i="56"/>
  <c r="P99" i="56"/>
  <c r="Q99" i="56"/>
  <c r="S99" i="56"/>
  <c r="Z99" i="56"/>
  <c r="AA99" i="56"/>
  <c r="AC99" i="56"/>
  <c r="L100" i="56"/>
  <c r="M100" i="56"/>
  <c r="P100" i="56"/>
  <c r="Q100" i="56"/>
  <c r="L101" i="56"/>
  <c r="G101" i="56" s="1"/>
  <c r="R101" i="56" s="1"/>
  <c r="M101" i="56"/>
  <c r="P101" i="56"/>
  <c r="Q101" i="56"/>
  <c r="S101" i="56"/>
  <c r="Z101" i="56"/>
  <c r="AA101" i="56"/>
  <c r="AC101" i="56"/>
  <c r="L102" i="56"/>
  <c r="M102" i="56"/>
  <c r="P102" i="56"/>
  <c r="Q102" i="56"/>
  <c r="L103" i="56"/>
  <c r="G103" i="56" s="1"/>
  <c r="R103" i="56" s="1"/>
  <c r="M103" i="56"/>
  <c r="P103" i="56"/>
  <c r="Q103" i="56"/>
  <c r="S103" i="56"/>
  <c r="Z103" i="56"/>
  <c r="AA103" i="56"/>
  <c r="AC103" i="56"/>
  <c r="L104" i="56"/>
  <c r="M104" i="56"/>
  <c r="P104" i="56"/>
  <c r="Q104" i="56"/>
  <c r="L105" i="56"/>
  <c r="G105" i="56" s="1"/>
  <c r="R105" i="56" s="1"/>
  <c r="M105" i="56"/>
  <c r="P105" i="56"/>
  <c r="Q105" i="56"/>
  <c r="S105" i="56"/>
  <c r="Z105" i="56"/>
  <c r="AA105" i="56"/>
  <c r="AC105" i="56"/>
  <c r="L106" i="56"/>
  <c r="M106" i="56"/>
  <c r="P106" i="56"/>
  <c r="Q106" i="56"/>
  <c r="L107" i="56"/>
  <c r="M107" i="56"/>
  <c r="P107" i="56"/>
  <c r="Q107" i="56"/>
  <c r="S107" i="56"/>
  <c r="Z107" i="56"/>
  <c r="AA107" i="56"/>
  <c r="AC107" i="56"/>
  <c r="L108" i="56"/>
  <c r="M108" i="56"/>
  <c r="P108" i="56"/>
  <c r="Q108" i="56"/>
  <c r="L109" i="56"/>
  <c r="G109" i="56" s="1"/>
  <c r="R109" i="56" s="1"/>
  <c r="M109" i="56"/>
  <c r="P109" i="56"/>
  <c r="Q109" i="56"/>
  <c r="S109" i="56"/>
  <c r="Z109" i="56"/>
  <c r="AA109" i="56"/>
  <c r="AC109" i="56"/>
  <c r="L110" i="56"/>
  <c r="M110" i="56"/>
  <c r="P110" i="56"/>
  <c r="Q110" i="56"/>
  <c r="L111" i="56"/>
  <c r="G111" i="56" s="1"/>
  <c r="R111" i="56" s="1"/>
  <c r="M111" i="56"/>
  <c r="P111" i="56"/>
  <c r="Q111" i="56"/>
  <c r="S111" i="56"/>
  <c r="Z111" i="56"/>
  <c r="AA111" i="56"/>
  <c r="AC111" i="56"/>
  <c r="L112" i="56"/>
  <c r="M112" i="56"/>
  <c r="P112" i="56"/>
  <c r="Q112" i="56"/>
  <c r="L113" i="56"/>
  <c r="G113" i="56" s="1"/>
  <c r="R113" i="56" s="1"/>
  <c r="M113" i="56"/>
  <c r="P113" i="56"/>
  <c r="Q113" i="56"/>
  <c r="S113" i="56"/>
  <c r="Z113" i="56"/>
  <c r="AA113" i="56"/>
  <c r="AC113" i="56"/>
  <c r="L114" i="56"/>
  <c r="M114" i="56"/>
  <c r="P114" i="56"/>
  <c r="Q114" i="56"/>
  <c r="L115" i="56"/>
  <c r="G115" i="56" s="1"/>
  <c r="R115" i="56" s="1"/>
  <c r="M115" i="56"/>
  <c r="P115" i="56"/>
  <c r="Q115" i="56"/>
  <c r="S115" i="56"/>
  <c r="Z115" i="56"/>
  <c r="AA115" i="56"/>
  <c r="AC115" i="56"/>
  <c r="L116" i="56"/>
  <c r="M116" i="56"/>
  <c r="P116" i="56"/>
  <c r="Q116" i="56"/>
  <c r="L117" i="56"/>
  <c r="G117" i="56" s="1"/>
  <c r="R117" i="56" s="1"/>
  <c r="M117" i="56"/>
  <c r="P117" i="56"/>
  <c r="Q117" i="56"/>
  <c r="S117" i="56"/>
  <c r="Z117" i="56"/>
  <c r="AA117" i="56"/>
  <c r="AC117" i="56"/>
  <c r="L118" i="56"/>
  <c r="M118" i="56"/>
  <c r="P118" i="56"/>
  <c r="Q118" i="56"/>
  <c r="L119" i="56"/>
  <c r="U119" i="56" s="1"/>
  <c r="M119" i="56"/>
  <c r="P119" i="56"/>
  <c r="Q119" i="56"/>
  <c r="S119" i="56"/>
  <c r="Z119" i="56"/>
  <c r="AA119" i="56"/>
  <c r="AC119" i="56"/>
  <c r="L120" i="56"/>
  <c r="M120" i="56"/>
  <c r="P120" i="56"/>
  <c r="Q120" i="56"/>
  <c r="L121" i="56"/>
  <c r="M121" i="56"/>
  <c r="P121" i="56"/>
  <c r="Q121" i="56"/>
  <c r="S121" i="56"/>
  <c r="Z121" i="56"/>
  <c r="AA121" i="56"/>
  <c r="AC121" i="56"/>
  <c r="L122" i="56"/>
  <c r="M122" i="56"/>
  <c r="P122" i="56"/>
  <c r="Q122" i="56"/>
  <c r="L123" i="56"/>
  <c r="M123" i="56"/>
  <c r="P123" i="56"/>
  <c r="Q123" i="56"/>
  <c r="S123" i="56"/>
  <c r="Z123" i="56"/>
  <c r="AA123" i="56"/>
  <c r="AC123" i="56"/>
  <c r="L124" i="56"/>
  <c r="M124" i="56"/>
  <c r="P124" i="56"/>
  <c r="Q124" i="56"/>
  <c r="L125" i="56"/>
  <c r="M125" i="56"/>
  <c r="P125" i="56"/>
  <c r="Q125" i="56"/>
  <c r="S125" i="56"/>
  <c r="Z125" i="56"/>
  <c r="AA125" i="56"/>
  <c r="AC125" i="56"/>
  <c r="L126" i="56"/>
  <c r="M126" i="56"/>
  <c r="P126" i="56"/>
  <c r="Q126" i="56"/>
  <c r="L127" i="56"/>
  <c r="U127" i="56" s="1"/>
  <c r="M127" i="56"/>
  <c r="P127" i="56"/>
  <c r="Q127" i="56"/>
  <c r="S127" i="56"/>
  <c r="Z127" i="56"/>
  <c r="AA127" i="56"/>
  <c r="AC127" i="56"/>
  <c r="L128" i="56"/>
  <c r="M128" i="56"/>
  <c r="P128" i="56"/>
  <c r="Q128" i="56"/>
  <c r="L129" i="56"/>
  <c r="U129" i="56" s="1"/>
  <c r="M129" i="56"/>
  <c r="P129" i="56"/>
  <c r="Q129" i="56"/>
  <c r="S129" i="56"/>
  <c r="Z129" i="56"/>
  <c r="AA129" i="56"/>
  <c r="AC129" i="56"/>
  <c r="L130" i="56"/>
  <c r="M130" i="56"/>
  <c r="P130" i="56"/>
  <c r="Q130" i="56"/>
  <c r="L131" i="56"/>
  <c r="M131" i="56"/>
  <c r="P131" i="56"/>
  <c r="Q131" i="56"/>
  <c r="S131" i="56"/>
  <c r="Z131" i="56"/>
  <c r="AA131" i="56"/>
  <c r="AC131" i="56"/>
  <c r="L132" i="56"/>
  <c r="M132" i="56"/>
  <c r="P132" i="56"/>
  <c r="Q132" i="56"/>
  <c r="L133" i="56"/>
  <c r="U133" i="56" s="1"/>
  <c r="M133" i="56"/>
  <c r="P133" i="56"/>
  <c r="Q133" i="56"/>
  <c r="S133" i="56"/>
  <c r="Z133" i="56"/>
  <c r="AA133" i="56"/>
  <c r="AC133" i="56"/>
  <c r="L134" i="56"/>
  <c r="M134" i="56"/>
  <c r="P134" i="56"/>
  <c r="Q134" i="56"/>
  <c r="L135" i="56"/>
  <c r="G135" i="56" s="1"/>
  <c r="R135" i="56" s="1"/>
  <c r="M135" i="56"/>
  <c r="P135" i="56"/>
  <c r="Q135" i="56"/>
  <c r="S135" i="56"/>
  <c r="Z135" i="56"/>
  <c r="AA135" i="56"/>
  <c r="AC135" i="56"/>
  <c r="L136" i="56"/>
  <c r="M136" i="56"/>
  <c r="P136" i="56"/>
  <c r="Q136" i="56"/>
  <c r="L137" i="56"/>
  <c r="U137" i="56" s="1"/>
  <c r="M137" i="56"/>
  <c r="P137" i="56"/>
  <c r="Q137" i="56"/>
  <c r="S137" i="56"/>
  <c r="Z137" i="56"/>
  <c r="AA137" i="56"/>
  <c r="AC137" i="56"/>
  <c r="L138" i="56"/>
  <c r="M138" i="56"/>
  <c r="P138" i="56"/>
  <c r="Q138" i="56"/>
  <c r="L139" i="56"/>
  <c r="M139" i="56"/>
  <c r="P139" i="56"/>
  <c r="Q139" i="56"/>
  <c r="S139" i="56"/>
  <c r="Z139" i="56"/>
  <c r="AA139" i="56"/>
  <c r="AC139" i="56"/>
  <c r="L140" i="56"/>
  <c r="M140" i="56"/>
  <c r="P140" i="56"/>
  <c r="Q140" i="56"/>
  <c r="L141" i="56"/>
  <c r="M141" i="56"/>
  <c r="P141" i="56"/>
  <c r="Q141" i="56"/>
  <c r="S141" i="56"/>
  <c r="Z141" i="56"/>
  <c r="AA141" i="56"/>
  <c r="AC141" i="56"/>
  <c r="L142" i="56"/>
  <c r="M142" i="56"/>
  <c r="P142" i="56"/>
  <c r="Q142" i="56"/>
  <c r="L143" i="56"/>
  <c r="M143" i="56"/>
  <c r="P143" i="56"/>
  <c r="Q143" i="56"/>
  <c r="S143" i="56"/>
  <c r="Z143" i="56"/>
  <c r="AA143" i="56"/>
  <c r="AC143" i="56"/>
  <c r="AD6" i="59"/>
  <c r="AD7" i="59"/>
  <c r="A8" i="59"/>
  <c r="AC8" i="59"/>
  <c r="AD8" i="59"/>
  <c r="L12" i="59"/>
  <c r="G12" i="59" s="1"/>
  <c r="R12" i="59" s="1"/>
  <c r="M12" i="59"/>
  <c r="P12" i="59"/>
  <c r="Q12" i="59"/>
  <c r="L13" i="59"/>
  <c r="M13" i="59"/>
  <c r="P13" i="59"/>
  <c r="Q13" i="59"/>
  <c r="S13" i="59"/>
  <c r="Z13" i="59"/>
  <c r="Y15" i="59" s="1"/>
  <c r="L14" i="59"/>
  <c r="G14" i="59" s="1"/>
  <c r="R14" i="59" s="1"/>
  <c r="M14" i="59"/>
  <c r="P14" i="59"/>
  <c r="Q14" i="59"/>
  <c r="L15" i="59"/>
  <c r="M15" i="59"/>
  <c r="P15" i="59"/>
  <c r="Q15" i="59"/>
  <c r="S15" i="59"/>
  <c r="X15" i="59"/>
  <c r="AA15" i="59"/>
  <c r="AC15" i="59"/>
  <c r="L16" i="59"/>
  <c r="G16" i="59" s="1"/>
  <c r="R16" i="59" s="1"/>
  <c r="M16" i="59"/>
  <c r="P16" i="59"/>
  <c r="Q16" i="59"/>
  <c r="L17" i="59"/>
  <c r="G17" i="59" s="1"/>
  <c r="R17" i="59" s="1"/>
  <c r="M17" i="59"/>
  <c r="P17" i="59"/>
  <c r="Q17" i="59"/>
  <c r="S17" i="59"/>
  <c r="Z17" i="59"/>
  <c r="AA17" i="59"/>
  <c r="AC17" i="59"/>
  <c r="L18" i="59"/>
  <c r="G18" i="59" s="1"/>
  <c r="R18" i="59" s="1"/>
  <c r="M18" i="59"/>
  <c r="P18" i="59"/>
  <c r="Q18" i="59"/>
  <c r="L19" i="59"/>
  <c r="G19" i="59" s="1"/>
  <c r="R19" i="59" s="1"/>
  <c r="M19" i="59"/>
  <c r="P19" i="59"/>
  <c r="Q19" i="59"/>
  <c r="S19" i="59"/>
  <c r="Z19" i="59"/>
  <c r="L20" i="59"/>
  <c r="G20" i="59" s="1"/>
  <c r="R20" i="59" s="1"/>
  <c r="M20" i="59"/>
  <c r="P20" i="59"/>
  <c r="Q20" i="59"/>
  <c r="L21" i="59"/>
  <c r="M21" i="59"/>
  <c r="P21" i="59"/>
  <c r="Q21" i="59"/>
  <c r="S21" i="59"/>
  <c r="Z21" i="59"/>
  <c r="AA21" i="59"/>
  <c r="AC21" i="59"/>
  <c r="L22" i="59"/>
  <c r="G22" i="59" s="1"/>
  <c r="R22" i="59" s="1"/>
  <c r="M22" i="59"/>
  <c r="P22" i="59"/>
  <c r="Q22" i="59"/>
  <c r="L23" i="59"/>
  <c r="U23" i="59" s="1"/>
  <c r="M23" i="59"/>
  <c r="P23" i="59"/>
  <c r="Q23" i="59"/>
  <c r="S23" i="59"/>
  <c r="Z23" i="59"/>
  <c r="AA23" i="59"/>
  <c r="AC23" i="59"/>
  <c r="L24" i="59"/>
  <c r="G24" i="59" s="1"/>
  <c r="R24" i="59" s="1"/>
  <c r="M24" i="59"/>
  <c r="P24" i="59"/>
  <c r="Q24" i="59"/>
  <c r="L25" i="59"/>
  <c r="G25" i="59" s="1"/>
  <c r="R25" i="59" s="1"/>
  <c r="M25" i="59"/>
  <c r="P25" i="59"/>
  <c r="Q25" i="59"/>
  <c r="S25" i="59"/>
  <c r="Z25" i="59"/>
  <c r="L26" i="59"/>
  <c r="G26" i="59" s="1"/>
  <c r="R26" i="59" s="1"/>
  <c r="M26" i="59"/>
  <c r="P26" i="59"/>
  <c r="Q26" i="59"/>
  <c r="L27" i="59"/>
  <c r="U27" i="59" s="1"/>
  <c r="M27" i="59"/>
  <c r="P27" i="59"/>
  <c r="Q27" i="59"/>
  <c r="S27" i="59"/>
  <c r="Z27" i="59"/>
  <c r="AA27" i="59"/>
  <c r="AC27" i="59"/>
  <c r="L28" i="59"/>
  <c r="M28" i="59"/>
  <c r="P28" i="59"/>
  <c r="Q28" i="59"/>
  <c r="L29" i="59"/>
  <c r="U29" i="59" s="1"/>
  <c r="M29" i="59"/>
  <c r="P29" i="59"/>
  <c r="Q29" i="59"/>
  <c r="S29" i="59"/>
  <c r="Z29" i="59"/>
  <c r="AA29" i="59"/>
  <c r="AC29" i="59"/>
  <c r="L30" i="59"/>
  <c r="G30" i="59" s="1"/>
  <c r="R30" i="59" s="1"/>
  <c r="M30" i="59"/>
  <c r="P30" i="59"/>
  <c r="Q30" i="59"/>
  <c r="L31" i="59"/>
  <c r="U31" i="59" s="1"/>
  <c r="M31" i="59"/>
  <c r="P31" i="59"/>
  <c r="Q31" i="59"/>
  <c r="S31" i="59"/>
  <c r="Z31" i="59"/>
  <c r="AA31" i="59"/>
  <c r="AC31" i="59"/>
  <c r="L32" i="59"/>
  <c r="G32" i="59" s="1"/>
  <c r="R32" i="59" s="1"/>
  <c r="M32" i="59"/>
  <c r="P32" i="59"/>
  <c r="Q32" i="59"/>
  <c r="L33" i="59"/>
  <c r="U33" i="59" s="1"/>
  <c r="M33" i="59"/>
  <c r="P33" i="59"/>
  <c r="Q33" i="59"/>
  <c r="S33" i="59"/>
  <c r="Z33" i="59"/>
  <c r="AA33" i="59"/>
  <c r="AC33" i="59"/>
  <c r="L34" i="59"/>
  <c r="G34" i="59" s="1"/>
  <c r="R34" i="59" s="1"/>
  <c r="M34" i="59"/>
  <c r="P34" i="59"/>
  <c r="Q34" i="59"/>
  <c r="L35" i="59"/>
  <c r="G35" i="59" s="1"/>
  <c r="R35" i="59" s="1"/>
  <c r="M35" i="59"/>
  <c r="P35" i="59"/>
  <c r="Q35" i="59"/>
  <c r="S35" i="59"/>
  <c r="Z35" i="59"/>
  <c r="AA35" i="59"/>
  <c r="AC35" i="59"/>
  <c r="L36" i="59"/>
  <c r="G36" i="59" s="1"/>
  <c r="R36" i="59" s="1"/>
  <c r="M36" i="59"/>
  <c r="P36" i="59"/>
  <c r="Q36" i="59"/>
  <c r="L37" i="59"/>
  <c r="G37" i="59" s="1"/>
  <c r="R37" i="59" s="1"/>
  <c r="M37" i="59"/>
  <c r="P37" i="59"/>
  <c r="Q37" i="59"/>
  <c r="S37" i="59"/>
  <c r="Z37" i="59"/>
  <c r="AA37" i="59"/>
  <c r="AC37" i="59"/>
  <c r="L38" i="59"/>
  <c r="G38" i="59" s="1"/>
  <c r="R38" i="59" s="1"/>
  <c r="M38" i="59"/>
  <c r="P38" i="59"/>
  <c r="Q38" i="59"/>
  <c r="L39" i="59"/>
  <c r="G39" i="59" s="1"/>
  <c r="R39" i="59" s="1"/>
  <c r="M39" i="59"/>
  <c r="P39" i="59"/>
  <c r="Q39" i="59"/>
  <c r="S39" i="59"/>
  <c r="Z39" i="59"/>
  <c r="AA39" i="59"/>
  <c r="AC39" i="59"/>
  <c r="L40" i="59"/>
  <c r="G40" i="59" s="1"/>
  <c r="R40" i="59" s="1"/>
  <c r="M40" i="59"/>
  <c r="P40" i="59"/>
  <c r="Q40" i="59"/>
  <c r="L41" i="59"/>
  <c r="G41" i="59" s="1"/>
  <c r="R41" i="59" s="1"/>
  <c r="M41" i="59"/>
  <c r="P41" i="59"/>
  <c r="Q41" i="59"/>
  <c r="S41" i="59"/>
  <c r="Z41" i="59"/>
  <c r="AA41" i="59"/>
  <c r="AC41" i="59"/>
  <c r="L42" i="59"/>
  <c r="G42" i="59" s="1"/>
  <c r="R42" i="59" s="1"/>
  <c r="M42" i="59"/>
  <c r="P42" i="59"/>
  <c r="Q42" i="59"/>
  <c r="L43" i="59"/>
  <c r="G43" i="59" s="1"/>
  <c r="R43" i="59" s="1"/>
  <c r="M43" i="59"/>
  <c r="P43" i="59"/>
  <c r="Q43" i="59"/>
  <c r="S43" i="59"/>
  <c r="Z43" i="59"/>
  <c r="AA43" i="59"/>
  <c r="AC43" i="59"/>
  <c r="L44" i="59"/>
  <c r="G44" i="59" s="1"/>
  <c r="R44" i="59" s="1"/>
  <c r="M44" i="59"/>
  <c r="P44" i="59"/>
  <c r="Q44" i="59"/>
  <c r="L45" i="59"/>
  <c r="U45" i="59" s="1"/>
  <c r="M45" i="59"/>
  <c r="P45" i="59"/>
  <c r="Q45" i="59"/>
  <c r="S45" i="59"/>
  <c r="Z45" i="59"/>
  <c r="AA45" i="59"/>
  <c r="AC45" i="59"/>
  <c r="L46" i="59"/>
  <c r="G46" i="59" s="1"/>
  <c r="R46" i="59" s="1"/>
  <c r="M46" i="59"/>
  <c r="P46" i="59"/>
  <c r="Q46" i="59"/>
  <c r="L47" i="59"/>
  <c r="U47" i="59" s="1"/>
  <c r="M47" i="59"/>
  <c r="P47" i="59"/>
  <c r="Q47" i="59"/>
  <c r="S47" i="59"/>
  <c r="Z47" i="59"/>
  <c r="AA47" i="59"/>
  <c r="AC47" i="59"/>
  <c r="L48" i="59"/>
  <c r="G48" i="59" s="1"/>
  <c r="R48" i="59" s="1"/>
  <c r="M48" i="59"/>
  <c r="P48" i="59"/>
  <c r="Q48" i="59"/>
  <c r="L49" i="59"/>
  <c r="U49" i="59" s="1"/>
  <c r="M49" i="59"/>
  <c r="P49" i="59"/>
  <c r="Q49" i="59"/>
  <c r="S49" i="59"/>
  <c r="Z49" i="59"/>
  <c r="AA49" i="59"/>
  <c r="AC49" i="59"/>
  <c r="L50" i="59"/>
  <c r="G50" i="59" s="1"/>
  <c r="R50" i="59" s="1"/>
  <c r="M50" i="59"/>
  <c r="P50" i="59"/>
  <c r="Q50" i="59"/>
  <c r="L51" i="59"/>
  <c r="U51" i="59" s="1"/>
  <c r="M51" i="59"/>
  <c r="P51" i="59"/>
  <c r="Q51" i="59"/>
  <c r="S51" i="59"/>
  <c r="Z51" i="59"/>
  <c r="AA51" i="59"/>
  <c r="AC51" i="59"/>
  <c r="L52" i="59"/>
  <c r="G52" i="59" s="1"/>
  <c r="R52" i="59" s="1"/>
  <c r="M52" i="59"/>
  <c r="P52" i="59"/>
  <c r="Q52" i="59"/>
  <c r="L53" i="59"/>
  <c r="U53" i="59" s="1"/>
  <c r="M53" i="59"/>
  <c r="P53" i="59"/>
  <c r="Q53" i="59"/>
  <c r="S53" i="59"/>
  <c r="Z53" i="59"/>
  <c r="AA53" i="59"/>
  <c r="AC53" i="59"/>
  <c r="L54" i="59"/>
  <c r="G54" i="59" s="1"/>
  <c r="R54" i="59" s="1"/>
  <c r="M54" i="59"/>
  <c r="P54" i="59"/>
  <c r="Q54" i="59"/>
  <c r="L55" i="59"/>
  <c r="G55" i="59" s="1"/>
  <c r="R55" i="59" s="1"/>
  <c r="M55" i="59"/>
  <c r="P55" i="59"/>
  <c r="Q55" i="59"/>
  <c r="S55" i="59"/>
  <c r="Z55" i="59"/>
  <c r="AA55" i="59"/>
  <c r="AC55" i="59"/>
  <c r="L56" i="59"/>
  <c r="G56" i="59" s="1"/>
  <c r="R56" i="59" s="1"/>
  <c r="M56" i="59"/>
  <c r="P56" i="59"/>
  <c r="Q56" i="59"/>
  <c r="L57" i="59"/>
  <c r="G57" i="59" s="1"/>
  <c r="R57" i="59" s="1"/>
  <c r="M57" i="59"/>
  <c r="P57" i="59"/>
  <c r="Q57" i="59"/>
  <c r="S57" i="59"/>
  <c r="Z57" i="59"/>
  <c r="AA57" i="59"/>
  <c r="AC57" i="59"/>
  <c r="L58" i="59"/>
  <c r="G58" i="59" s="1"/>
  <c r="R58" i="59" s="1"/>
  <c r="M58" i="59"/>
  <c r="P58" i="59"/>
  <c r="Q58" i="59"/>
  <c r="L59" i="59"/>
  <c r="G59" i="59" s="1"/>
  <c r="R59" i="59" s="1"/>
  <c r="M59" i="59"/>
  <c r="P59" i="59"/>
  <c r="Q59" i="59"/>
  <c r="S59" i="59"/>
  <c r="Z59" i="59"/>
  <c r="AA59" i="59"/>
  <c r="AC59" i="59"/>
  <c r="L60" i="59"/>
  <c r="G60" i="59" s="1"/>
  <c r="R60" i="59" s="1"/>
  <c r="M60" i="59"/>
  <c r="P60" i="59"/>
  <c r="Q60" i="59"/>
  <c r="L61" i="59"/>
  <c r="G61" i="59" s="1"/>
  <c r="R61" i="59" s="1"/>
  <c r="M61" i="59"/>
  <c r="P61" i="59"/>
  <c r="Q61" i="59"/>
  <c r="S61" i="59"/>
  <c r="Z61" i="59"/>
  <c r="AA61" i="59"/>
  <c r="AC61" i="59"/>
  <c r="L62" i="59"/>
  <c r="G62" i="59" s="1"/>
  <c r="R62" i="59" s="1"/>
  <c r="M62" i="59"/>
  <c r="P62" i="59"/>
  <c r="Q62" i="59"/>
  <c r="L63" i="59"/>
  <c r="G63" i="59" s="1"/>
  <c r="R63" i="59" s="1"/>
  <c r="M63" i="59"/>
  <c r="P63" i="59"/>
  <c r="Q63" i="59"/>
  <c r="S63" i="59"/>
  <c r="Z63" i="59"/>
  <c r="AA63" i="59"/>
  <c r="AC63" i="59"/>
  <c r="L64" i="59"/>
  <c r="G64" i="59" s="1"/>
  <c r="R64" i="59" s="1"/>
  <c r="M64" i="59"/>
  <c r="P64" i="59"/>
  <c r="Q64" i="59"/>
  <c r="L65" i="59"/>
  <c r="G65" i="59" s="1"/>
  <c r="R65" i="59" s="1"/>
  <c r="M65" i="59"/>
  <c r="P65" i="59"/>
  <c r="Q65" i="59"/>
  <c r="S65" i="59"/>
  <c r="Z65" i="59"/>
  <c r="AA65" i="59"/>
  <c r="AC65" i="59"/>
  <c r="L66" i="59"/>
  <c r="G66" i="59" s="1"/>
  <c r="R66" i="59" s="1"/>
  <c r="M66" i="59"/>
  <c r="P66" i="59"/>
  <c r="Q66" i="59"/>
  <c r="L67" i="59"/>
  <c r="U67" i="59" s="1"/>
  <c r="M67" i="59"/>
  <c r="P67" i="59"/>
  <c r="Q67" i="59"/>
  <c r="S67" i="59"/>
  <c r="Z67" i="59"/>
  <c r="AA67" i="59"/>
  <c r="AC67" i="59"/>
  <c r="L68" i="59"/>
  <c r="G68" i="59" s="1"/>
  <c r="R68" i="59" s="1"/>
  <c r="M68" i="59"/>
  <c r="P68" i="59"/>
  <c r="Q68" i="59"/>
  <c r="L69" i="59"/>
  <c r="G69" i="59" s="1"/>
  <c r="R69" i="59" s="1"/>
  <c r="M69" i="59"/>
  <c r="P69" i="59"/>
  <c r="Q69" i="59"/>
  <c r="S69" i="59"/>
  <c r="Z69" i="59"/>
  <c r="L70" i="59"/>
  <c r="G70" i="59" s="1"/>
  <c r="R70" i="59" s="1"/>
  <c r="M70" i="59"/>
  <c r="P70" i="59"/>
  <c r="Q70" i="59"/>
  <c r="L71" i="59"/>
  <c r="G71" i="59" s="1"/>
  <c r="R71" i="59" s="1"/>
  <c r="M71" i="59"/>
  <c r="P71" i="59"/>
  <c r="Q71" i="59"/>
  <c r="S71" i="59"/>
  <c r="Z71" i="59"/>
  <c r="L72" i="59"/>
  <c r="G72" i="59" s="1"/>
  <c r="R72" i="59" s="1"/>
  <c r="M72" i="59"/>
  <c r="P72" i="59"/>
  <c r="Q72" i="59"/>
  <c r="L73" i="59"/>
  <c r="U73" i="59" s="1"/>
  <c r="M73" i="59"/>
  <c r="P73" i="59"/>
  <c r="Q73" i="59"/>
  <c r="S73" i="59"/>
  <c r="Z73" i="59"/>
  <c r="AA73" i="59"/>
  <c r="AC73" i="59"/>
  <c r="A74" i="59"/>
  <c r="U74" i="59"/>
  <c r="L78" i="59"/>
  <c r="G78" i="59" s="1"/>
  <c r="R78" i="59" s="1"/>
  <c r="M78" i="59"/>
  <c r="P78" i="59"/>
  <c r="Q78" i="59"/>
  <c r="L79" i="59"/>
  <c r="U79" i="59" s="1"/>
  <c r="M79" i="59"/>
  <c r="P79" i="59"/>
  <c r="Q79" i="59"/>
  <c r="S79" i="59"/>
  <c r="Z79" i="59"/>
  <c r="AA79" i="59"/>
  <c r="AC79" i="59"/>
  <c r="L80" i="59"/>
  <c r="G80" i="59" s="1"/>
  <c r="R80" i="59" s="1"/>
  <c r="M80" i="59"/>
  <c r="P80" i="59"/>
  <c r="Q80" i="59"/>
  <c r="L81" i="59"/>
  <c r="G81" i="59" s="1"/>
  <c r="R81" i="59" s="1"/>
  <c r="M81" i="59"/>
  <c r="P81" i="59"/>
  <c r="Q81" i="59"/>
  <c r="S81" i="59"/>
  <c r="Z81" i="59"/>
  <c r="AA81" i="59"/>
  <c r="AC81" i="59"/>
  <c r="L82" i="59"/>
  <c r="G82" i="59" s="1"/>
  <c r="R82" i="59" s="1"/>
  <c r="M82" i="59"/>
  <c r="P82" i="59"/>
  <c r="Q82" i="59"/>
  <c r="L83" i="59"/>
  <c r="U83" i="59" s="1"/>
  <c r="M83" i="59"/>
  <c r="P83" i="59"/>
  <c r="Q83" i="59"/>
  <c r="S83" i="59"/>
  <c r="Z83" i="59"/>
  <c r="AA83" i="59"/>
  <c r="AC83" i="59"/>
  <c r="L84" i="59"/>
  <c r="G84" i="59" s="1"/>
  <c r="R84" i="59" s="1"/>
  <c r="M84" i="59"/>
  <c r="P84" i="59"/>
  <c r="Q84" i="59"/>
  <c r="L85" i="59"/>
  <c r="U85" i="59" s="1"/>
  <c r="M85" i="59"/>
  <c r="P85" i="59"/>
  <c r="Q85" i="59"/>
  <c r="S85" i="59"/>
  <c r="Z85" i="59"/>
  <c r="AA85" i="59"/>
  <c r="AC85" i="59"/>
  <c r="L86" i="59"/>
  <c r="G86" i="59" s="1"/>
  <c r="R86" i="59" s="1"/>
  <c r="M86" i="59"/>
  <c r="P86" i="59"/>
  <c r="Q86" i="59"/>
  <c r="L87" i="59"/>
  <c r="G87" i="59" s="1"/>
  <c r="R87" i="59" s="1"/>
  <c r="M87" i="59"/>
  <c r="P87" i="59"/>
  <c r="Q87" i="59"/>
  <c r="S87" i="59"/>
  <c r="Z87" i="59"/>
  <c r="AA87" i="59"/>
  <c r="AC87" i="59"/>
  <c r="L88" i="59"/>
  <c r="G88" i="59" s="1"/>
  <c r="R88" i="59" s="1"/>
  <c r="M88" i="59"/>
  <c r="P88" i="59"/>
  <c r="Q88" i="59"/>
  <c r="L89" i="59"/>
  <c r="U89" i="59" s="1"/>
  <c r="M89" i="59"/>
  <c r="P89" i="59"/>
  <c r="Q89" i="59"/>
  <c r="S89" i="59"/>
  <c r="Z89" i="59"/>
  <c r="AA89" i="59"/>
  <c r="AC89" i="59"/>
  <c r="L90" i="59"/>
  <c r="G90" i="59" s="1"/>
  <c r="R90" i="59" s="1"/>
  <c r="M90" i="59"/>
  <c r="P90" i="59"/>
  <c r="Q90" i="59"/>
  <c r="L91" i="59"/>
  <c r="G91" i="59" s="1"/>
  <c r="R91" i="59" s="1"/>
  <c r="M91" i="59"/>
  <c r="P91" i="59"/>
  <c r="Q91" i="59"/>
  <c r="S91" i="59"/>
  <c r="Z91" i="59"/>
  <c r="AA91" i="59"/>
  <c r="AC91" i="59"/>
  <c r="L92" i="59"/>
  <c r="G92" i="59" s="1"/>
  <c r="R92" i="59" s="1"/>
  <c r="M92" i="59"/>
  <c r="P92" i="59"/>
  <c r="Q92" i="59"/>
  <c r="L93" i="59"/>
  <c r="U93" i="59" s="1"/>
  <c r="M93" i="59"/>
  <c r="P93" i="59"/>
  <c r="Q93" i="59"/>
  <c r="S93" i="59"/>
  <c r="Z93" i="59"/>
  <c r="AA93" i="59"/>
  <c r="AC93" i="59"/>
  <c r="L94" i="59"/>
  <c r="G94" i="59" s="1"/>
  <c r="R94" i="59" s="1"/>
  <c r="M94" i="59"/>
  <c r="P94" i="59"/>
  <c r="Q94" i="59"/>
  <c r="L95" i="59"/>
  <c r="G95" i="59" s="1"/>
  <c r="R95" i="59" s="1"/>
  <c r="M95" i="59"/>
  <c r="P95" i="59"/>
  <c r="Q95" i="59"/>
  <c r="S95" i="59"/>
  <c r="Z95" i="59"/>
  <c r="AA95" i="59"/>
  <c r="AC95" i="59"/>
  <c r="L96" i="59"/>
  <c r="M96" i="59"/>
  <c r="P96" i="59"/>
  <c r="Q96" i="59"/>
  <c r="L97" i="59"/>
  <c r="M97" i="59"/>
  <c r="P97" i="59"/>
  <c r="Q97" i="59"/>
  <c r="S97" i="59"/>
  <c r="Z97" i="59"/>
  <c r="AA97" i="59"/>
  <c r="AC97" i="59"/>
  <c r="L98" i="59"/>
  <c r="G98" i="59" s="1"/>
  <c r="R98" i="59" s="1"/>
  <c r="M98" i="59"/>
  <c r="P98" i="59"/>
  <c r="Q98" i="59"/>
  <c r="L99" i="59"/>
  <c r="U99" i="59" s="1"/>
  <c r="M99" i="59"/>
  <c r="P99" i="59"/>
  <c r="Q99" i="59"/>
  <c r="S99" i="59"/>
  <c r="Z99" i="59"/>
  <c r="AA99" i="59"/>
  <c r="AC99" i="59"/>
  <c r="L100" i="59"/>
  <c r="G100" i="59" s="1"/>
  <c r="R100" i="59" s="1"/>
  <c r="M100" i="59"/>
  <c r="P100" i="59"/>
  <c r="Q100" i="59"/>
  <c r="L101" i="59"/>
  <c r="U101" i="59" s="1"/>
  <c r="M101" i="59"/>
  <c r="P101" i="59"/>
  <c r="Q101" i="59"/>
  <c r="S101" i="59"/>
  <c r="Z101" i="59"/>
  <c r="AA101" i="59"/>
  <c r="AC101" i="59"/>
  <c r="L102" i="59"/>
  <c r="G102" i="59" s="1"/>
  <c r="R102" i="59" s="1"/>
  <c r="M102" i="59"/>
  <c r="P102" i="59"/>
  <c r="Q102" i="59"/>
  <c r="L103" i="59"/>
  <c r="M103" i="59"/>
  <c r="P103" i="59"/>
  <c r="Q103" i="59"/>
  <c r="S103" i="59"/>
  <c r="Z103" i="59"/>
  <c r="AA103" i="59"/>
  <c r="AC103" i="59"/>
  <c r="L104" i="59"/>
  <c r="M104" i="59"/>
  <c r="P104" i="59"/>
  <c r="Q104" i="59"/>
  <c r="L105" i="59"/>
  <c r="M105" i="59"/>
  <c r="P105" i="59"/>
  <c r="Q105" i="59"/>
  <c r="S105" i="59"/>
  <c r="Z105" i="59"/>
  <c r="AA105" i="59"/>
  <c r="AC105" i="59"/>
  <c r="L106" i="59"/>
  <c r="G106" i="59" s="1"/>
  <c r="R106" i="59" s="1"/>
  <c r="M106" i="59"/>
  <c r="P106" i="59"/>
  <c r="Q106" i="59"/>
  <c r="L107" i="59"/>
  <c r="U107" i="59" s="1"/>
  <c r="M107" i="59"/>
  <c r="P107" i="59"/>
  <c r="Q107" i="59"/>
  <c r="S107" i="59"/>
  <c r="Z107" i="59"/>
  <c r="AA107" i="59"/>
  <c r="AC107" i="59"/>
  <c r="L108" i="59"/>
  <c r="G108" i="59" s="1"/>
  <c r="R108" i="59" s="1"/>
  <c r="M108" i="59"/>
  <c r="P108" i="59"/>
  <c r="Q108" i="59"/>
  <c r="L109" i="59"/>
  <c r="G109" i="59" s="1"/>
  <c r="R109" i="59" s="1"/>
  <c r="M109" i="59"/>
  <c r="P109" i="59"/>
  <c r="Q109" i="59"/>
  <c r="S109" i="59"/>
  <c r="Z109" i="59"/>
  <c r="AA109" i="59"/>
  <c r="AC109" i="59"/>
  <c r="L110" i="59"/>
  <c r="M110" i="59"/>
  <c r="P110" i="59"/>
  <c r="Q110" i="59"/>
  <c r="L111" i="59"/>
  <c r="U111" i="59" s="1"/>
  <c r="M111" i="59"/>
  <c r="P111" i="59"/>
  <c r="Q111" i="59"/>
  <c r="S111" i="59"/>
  <c r="Z111" i="59"/>
  <c r="AA111" i="59"/>
  <c r="AC111" i="59"/>
  <c r="L112" i="59"/>
  <c r="G112" i="59" s="1"/>
  <c r="R112" i="59" s="1"/>
  <c r="M112" i="59"/>
  <c r="P112" i="59"/>
  <c r="Q112" i="59"/>
  <c r="L113" i="59"/>
  <c r="G113" i="59" s="1"/>
  <c r="R113" i="59" s="1"/>
  <c r="M113" i="59"/>
  <c r="P113" i="59"/>
  <c r="Q113" i="59"/>
  <c r="S113" i="59"/>
  <c r="Z113" i="59"/>
  <c r="AA113" i="59"/>
  <c r="AC113" i="59"/>
  <c r="L114" i="59"/>
  <c r="G114" i="59" s="1"/>
  <c r="R114" i="59" s="1"/>
  <c r="M114" i="59"/>
  <c r="P114" i="59"/>
  <c r="Q114" i="59"/>
  <c r="L115" i="59"/>
  <c r="M115" i="59"/>
  <c r="P115" i="59"/>
  <c r="Q115" i="59"/>
  <c r="S115" i="59"/>
  <c r="Z115" i="59"/>
  <c r="AA115" i="59"/>
  <c r="AC115" i="59"/>
  <c r="L116" i="59"/>
  <c r="G116" i="59" s="1"/>
  <c r="R116" i="59" s="1"/>
  <c r="M116" i="59"/>
  <c r="P116" i="59"/>
  <c r="Q116" i="59"/>
  <c r="L117" i="59"/>
  <c r="U117" i="59" s="1"/>
  <c r="M117" i="59"/>
  <c r="P117" i="59"/>
  <c r="Q117" i="59"/>
  <c r="S117" i="59"/>
  <c r="Z117" i="59"/>
  <c r="AA117" i="59"/>
  <c r="AC117" i="59"/>
  <c r="L118" i="59"/>
  <c r="G118" i="59" s="1"/>
  <c r="R118" i="59" s="1"/>
  <c r="M118" i="59"/>
  <c r="P118" i="59"/>
  <c r="Q118" i="59"/>
  <c r="L119" i="59"/>
  <c r="M119" i="59"/>
  <c r="P119" i="59"/>
  <c r="Q119" i="59"/>
  <c r="S119" i="59"/>
  <c r="Z119" i="59"/>
  <c r="AA119" i="59"/>
  <c r="AC119" i="59"/>
  <c r="L120" i="59"/>
  <c r="G120" i="59" s="1"/>
  <c r="R120" i="59" s="1"/>
  <c r="M120" i="59"/>
  <c r="P120" i="59"/>
  <c r="Q120" i="59"/>
  <c r="L121" i="59"/>
  <c r="U121" i="59" s="1"/>
  <c r="M121" i="59"/>
  <c r="P121" i="59"/>
  <c r="Q121" i="59"/>
  <c r="S121" i="59"/>
  <c r="Z121" i="59"/>
  <c r="AA121" i="59"/>
  <c r="AC121" i="59"/>
  <c r="L122" i="59"/>
  <c r="G122" i="59" s="1"/>
  <c r="R122" i="59" s="1"/>
  <c r="M122" i="59"/>
  <c r="P122" i="59"/>
  <c r="Q122" i="59"/>
  <c r="L123" i="59"/>
  <c r="G123" i="59" s="1"/>
  <c r="R123" i="59" s="1"/>
  <c r="M123" i="59"/>
  <c r="P123" i="59"/>
  <c r="Q123" i="59"/>
  <c r="S123" i="59"/>
  <c r="Z123" i="59"/>
  <c r="AA123" i="59"/>
  <c r="AC123" i="59"/>
  <c r="L124" i="59"/>
  <c r="G124" i="59" s="1"/>
  <c r="R124" i="59" s="1"/>
  <c r="M124" i="59"/>
  <c r="P124" i="59"/>
  <c r="Q124" i="59"/>
  <c r="L125" i="59"/>
  <c r="U125" i="59" s="1"/>
  <c r="M125" i="59"/>
  <c r="P125" i="59"/>
  <c r="Q125" i="59"/>
  <c r="S125" i="59"/>
  <c r="Z125" i="59"/>
  <c r="AA125" i="59"/>
  <c r="AC125" i="59"/>
  <c r="L126" i="59"/>
  <c r="G126" i="59" s="1"/>
  <c r="R126" i="59" s="1"/>
  <c r="M126" i="59"/>
  <c r="P126" i="59"/>
  <c r="Q126" i="59"/>
  <c r="L127" i="59"/>
  <c r="G127" i="59" s="1"/>
  <c r="R127" i="59" s="1"/>
  <c r="M127" i="59"/>
  <c r="P127" i="59"/>
  <c r="Q127" i="59"/>
  <c r="S127" i="59"/>
  <c r="Z127" i="59"/>
  <c r="AA127" i="59"/>
  <c r="AC127" i="59"/>
  <c r="L128" i="59"/>
  <c r="M128" i="59"/>
  <c r="P128" i="59"/>
  <c r="Q128" i="59"/>
  <c r="L129" i="59"/>
  <c r="M129" i="59"/>
  <c r="P129" i="59"/>
  <c r="Q129" i="59"/>
  <c r="S129" i="59"/>
  <c r="Z129" i="59"/>
  <c r="AA129" i="59"/>
  <c r="AC129" i="59"/>
  <c r="L130" i="59"/>
  <c r="M130" i="59"/>
  <c r="P130" i="59"/>
  <c r="Q130" i="59"/>
  <c r="L131" i="59"/>
  <c r="M131" i="59"/>
  <c r="P131" i="59"/>
  <c r="Q131" i="59"/>
  <c r="S131" i="59"/>
  <c r="Z131" i="59"/>
  <c r="AA131" i="59"/>
  <c r="AC131" i="59"/>
  <c r="L132" i="59"/>
  <c r="G132" i="59" s="1"/>
  <c r="R132" i="59" s="1"/>
  <c r="M132" i="59"/>
  <c r="P132" i="59"/>
  <c r="Q132" i="59"/>
  <c r="L133" i="59"/>
  <c r="M133" i="59"/>
  <c r="P133" i="59"/>
  <c r="Q133" i="59"/>
  <c r="S133" i="59"/>
  <c r="Z133" i="59"/>
  <c r="AA133" i="59"/>
  <c r="AC133" i="59"/>
  <c r="L134" i="59"/>
  <c r="M134" i="59"/>
  <c r="P134" i="59"/>
  <c r="Q134" i="59"/>
  <c r="L135" i="59"/>
  <c r="M135" i="59"/>
  <c r="P135" i="59"/>
  <c r="Q135" i="59"/>
  <c r="S135" i="59"/>
  <c r="Z135" i="59"/>
  <c r="AA135" i="59"/>
  <c r="AC135" i="59"/>
  <c r="L136" i="59"/>
  <c r="G136" i="59" s="1"/>
  <c r="R136" i="59" s="1"/>
  <c r="M136" i="59"/>
  <c r="P136" i="59"/>
  <c r="Q136" i="59"/>
  <c r="L137" i="59"/>
  <c r="U137" i="59" s="1"/>
  <c r="M137" i="59"/>
  <c r="P137" i="59"/>
  <c r="Q137" i="59"/>
  <c r="S137" i="59"/>
  <c r="Z137" i="59"/>
  <c r="AA137" i="59"/>
  <c r="AC137" i="59"/>
  <c r="L138" i="59"/>
  <c r="G138" i="59" s="1"/>
  <c r="R138" i="59" s="1"/>
  <c r="M138" i="59"/>
  <c r="P138" i="59"/>
  <c r="Q138" i="59"/>
  <c r="L139" i="59"/>
  <c r="M139" i="59"/>
  <c r="P139" i="59"/>
  <c r="Q139" i="59"/>
  <c r="S139" i="59"/>
  <c r="Z139" i="59"/>
  <c r="AA139" i="59"/>
  <c r="AC139" i="59"/>
  <c r="L140" i="59"/>
  <c r="G140" i="59" s="1"/>
  <c r="R140" i="59" s="1"/>
  <c r="M140" i="59"/>
  <c r="P140" i="59"/>
  <c r="Q140" i="59"/>
  <c r="L141" i="59"/>
  <c r="U141" i="59" s="1"/>
  <c r="M141" i="59"/>
  <c r="P141" i="59"/>
  <c r="Q141" i="59"/>
  <c r="S141" i="59"/>
  <c r="Z141" i="59"/>
  <c r="AA141" i="59"/>
  <c r="AC141" i="59"/>
  <c r="L142" i="59"/>
  <c r="G142" i="59" s="1"/>
  <c r="R142" i="59" s="1"/>
  <c r="M142" i="59"/>
  <c r="P142" i="59"/>
  <c r="Q142" i="59"/>
  <c r="L143" i="59"/>
  <c r="U143" i="59" s="1"/>
  <c r="M143" i="59"/>
  <c r="P143" i="59"/>
  <c r="Q143" i="59"/>
  <c r="S143" i="59"/>
  <c r="Z143" i="59"/>
  <c r="AA143" i="59"/>
  <c r="AC143" i="59"/>
  <c r="AD6" i="53"/>
  <c r="AD7" i="53"/>
  <c r="A8" i="53"/>
  <c r="AC8" i="53"/>
  <c r="AD8" i="53"/>
  <c r="L12" i="53"/>
  <c r="M12" i="53"/>
  <c r="P12" i="53"/>
  <c r="Q12" i="53"/>
  <c r="L13" i="53"/>
  <c r="M13" i="53"/>
  <c r="P13" i="53"/>
  <c r="Q13" i="53"/>
  <c r="S13" i="53"/>
  <c r="Z13" i="53"/>
  <c r="L14" i="53"/>
  <c r="M14" i="53"/>
  <c r="P14" i="53"/>
  <c r="Q14" i="53"/>
  <c r="L15" i="53"/>
  <c r="M15" i="53"/>
  <c r="P15" i="53"/>
  <c r="Q15" i="53"/>
  <c r="S15" i="53"/>
  <c r="Z15" i="53"/>
  <c r="AA15" i="53"/>
  <c r="AC15" i="53"/>
  <c r="L16" i="53"/>
  <c r="M16" i="53"/>
  <c r="P16" i="53"/>
  <c r="Q16" i="53"/>
  <c r="L17" i="53"/>
  <c r="M17" i="53"/>
  <c r="P17" i="53"/>
  <c r="Q17" i="53"/>
  <c r="S17" i="53"/>
  <c r="Z17" i="53"/>
  <c r="AA17" i="53"/>
  <c r="AC17" i="53"/>
  <c r="L18" i="53"/>
  <c r="M18" i="53"/>
  <c r="P18" i="53"/>
  <c r="Q18" i="53"/>
  <c r="L19" i="53"/>
  <c r="M19" i="53"/>
  <c r="P19" i="53"/>
  <c r="Q19" i="53"/>
  <c r="S19" i="53"/>
  <c r="Z19" i="53"/>
  <c r="AA19" i="53"/>
  <c r="AC19" i="53"/>
  <c r="L20" i="53"/>
  <c r="M20" i="53"/>
  <c r="P20" i="53"/>
  <c r="Q20" i="53"/>
  <c r="L21" i="53"/>
  <c r="M21" i="53"/>
  <c r="P21" i="53"/>
  <c r="Q21" i="53"/>
  <c r="S21" i="53"/>
  <c r="Z21" i="53"/>
  <c r="AA21" i="53"/>
  <c r="AC21" i="53"/>
  <c r="L22" i="53"/>
  <c r="M22" i="53"/>
  <c r="P22" i="53"/>
  <c r="Q22" i="53"/>
  <c r="L23" i="53"/>
  <c r="M23" i="53"/>
  <c r="P23" i="53"/>
  <c r="Q23" i="53"/>
  <c r="S23" i="53"/>
  <c r="Z23" i="53"/>
  <c r="AA23" i="53"/>
  <c r="AC23" i="53"/>
  <c r="L24" i="53"/>
  <c r="M24" i="53"/>
  <c r="P24" i="53"/>
  <c r="Q24" i="53"/>
  <c r="L25" i="53"/>
  <c r="M25" i="53"/>
  <c r="P25" i="53"/>
  <c r="Q25" i="53"/>
  <c r="S25" i="53"/>
  <c r="Z25" i="53"/>
  <c r="AA25" i="53"/>
  <c r="AC25" i="53"/>
  <c r="L26" i="53"/>
  <c r="M26" i="53"/>
  <c r="P26" i="53"/>
  <c r="Q26" i="53"/>
  <c r="L27" i="53"/>
  <c r="M27" i="53"/>
  <c r="P27" i="53"/>
  <c r="Q27" i="53"/>
  <c r="S27" i="53"/>
  <c r="Z27" i="53"/>
  <c r="AA27" i="53"/>
  <c r="AC27" i="53"/>
  <c r="L28" i="53"/>
  <c r="M28" i="53"/>
  <c r="P28" i="53"/>
  <c r="Q28" i="53"/>
  <c r="L29" i="53"/>
  <c r="M29" i="53"/>
  <c r="P29" i="53"/>
  <c r="Q29" i="53"/>
  <c r="S29" i="53"/>
  <c r="Z29" i="53"/>
  <c r="AA29" i="53"/>
  <c r="AC29" i="53"/>
  <c r="L30" i="53"/>
  <c r="M30" i="53"/>
  <c r="P30" i="53"/>
  <c r="Q30" i="53"/>
  <c r="L31" i="53"/>
  <c r="M31" i="53"/>
  <c r="P31" i="53"/>
  <c r="Q31" i="53"/>
  <c r="S31" i="53"/>
  <c r="Z31" i="53"/>
  <c r="AA31" i="53"/>
  <c r="AC31" i="53"/>
  <c r="L32" i="53"/>
  <c r="M32" i="53"/>
  <c r="P32" i="53"/>
  <c r="Q32" i="53"/>
  <c r="L33" i="53"/>
  <c r="M33" i="53"/>
  <c r="P33" i="53"/>
  <c r="Q33" i="53"/>
  <c r="S33" i="53"/>
  <c r="Z33" i="53"/>
  <c r="AA33" i="53"/>
  <c r="AC33" i="53"/>
  <c r="L34" i="53"/>
  <c r="M34" i="53"/>
  <c r="P34" i="53"/>
  <c r="Q34" i="53"/>
  <c r="L35" i="53"/>
  <c r="M35" i="53"/>
  <c r="P35" i="53"/>
  <c r="Q35" i="53"/>
  <c r="S35" i="53"/>
  <c r="Z35" i="53"/>
  <c r="AA35" i="53"/>
  <c r="AC35" i="53"/>
  <c r="L36" i="53"/>
  <c r="M36" i="53"/>
  <c r="P36" i="53"/>
  <c r="Q36" i="53"/>
  <c r="L37" i="53"/>
  <c r="M37" i="53"/>
  <c r="P37" i="53"/>
  <c r="Q37" i="53"/>
  <c r="S37" i="53"/>
  <c r="Z37" i="53"/>
  <c r="AA37" i="53"/>
  <c r="AC37" i="53"/>
  <c r="L38" i="53"/>
  <c r="M38" i="53"/>
  <c r="P38" i="53"/>
  <c r="Q38" i="53"/>
  <c r="L39" i="53"/>
  <c r="M39" i="53"/>
  <c r="P39" i="53"/>
  <c r="Q39" i="53"/>
  <c r="S39" i="53"/>
  <c r="Z39" i="53"/>
  <c r="AA39" i="53"/>
  <c r="AC39" i="53"/>
  <c r="L40" i="53"/>
  <c r="M40" i="53"/>
  <c r="P40" i="53"/>
  <c r="Q40" i="53"/>
  <c r="L41" i="53"/>
  <c r="M41" i="53"/>
  <c r="P41" i="53"/>
  <c r="Q41" i="53"/>
  <c r="S41" i="53"/>
  <c r="X41" i="53"/>
  <c r="AA41" i="53"/>
  <c r="AC41" i="53"/>
  <c r="L42" i="53"/>
  <c r="M42" i="53"/>
  <c r="P42" i="53"/>
  <c r="Q42" i="53"/>
  <c r="L43" i="53"/>
  <c r="M43" i="53"/>
  <c r="P43" i="53"/>
  <c r="Q43" i="53"/>
  <c r="S43" i="53"/>
  <c r="Z43" i="53"/>
  <c r="AA43" i="53"/>
  <c r="AC43" i="53"/>
  <c r="L44" i="53"/>
  <c r="M44" i="53"/>
  <c r="P44" i="53"/>
  <c r="Q44" i="53"/>
  <c r="L45" i="53"/>
  <c r="G45" i="53" s="1"/>
  <c r="R45" i="53" s="1"/>
  <c r="M45" i="53"/>
  <c r="P45" i="53"/>
  <c r="Q45" i="53"/>
  <c r="S45" i="53"/>
  <c r="Z45" i="53"/>
  <c r="L46" i="53"/>
  <c r="M46" i="53"/>
  <c r="P46" i="53"/>
  <c r="Q46" i="53"/>
  <c r="L47" i="53"/>
  <c r="M47" i="53"/>
  <c r="P47" i="53"/>
  <c r="Q47" i="53"/>
  <c r="S47" i="53"/>
  <c r="W47" i="53"/>
  <c r="Z47" i="53"/>
  <c r="AA47" i="53"/>
  <c r="AC47" i="53"/>
  <c r="L48" i="53"/>
  <c r="M48" i="53"/>
  <c r="P48" i="53"/>
  <c r="Q48" i="53"/>
  <c r="L49" i="53"/>
  <c r="M49" i="53"/>
  <c r="P49" i="53"/>
  <c r="Q49" i="53"/>
  <c r="S49" i="53"/>
  <c r="W49" i="53"/>
  <c r="Z49" i="53"/>
  <c r="Y59" i="53" s="1"/>
  <c r="Z59" i="53" s="1"/>
  <c r="AA49" i="53"/>
  <c r="AC49" i="53"/>
  <c r="L50" i="53"/>
  <c r="M50" i="53"/>
  <c r="P50" i="53"/>
  <c r="Q50" i="53"/>
  <c r="L51" i="53"/>
  <c r="M51" i="53"/>
  <c r="P51" i="53"/>
  <c r="Q51" i="53"/>
  <c r="S51" i="53"/>
  <c r="W51" i="53"/>
  <c r="Z51" i="53"/>
  <c r="AA51" i="53"/>
  <c r="AC51" i="53"/>
  <c r="L52" i="53"/>
  <c r="M52" i="53"/>
  <c r="P52" i="53"/>
  <c r="Q52" i="53"/>
  <c r="L53" i="53"/>
  <c r="G53" i="53" s="1"/>
  <c r="R53" i="53" s="1"/>
  <c r="M53" i="53"/>
  <c r="P53" i="53"/>
  <c r="Q53" i="53"/>
  <c r="S53" i="53"/>
  <c r="W53" i="53"/>
  <c r="Z53" i="53"/>
  <c r="AA53" i="53"/>
  <c r="AC53" i="53"/>
  <c r="L54" i="53"/>
  <c r="M54" i="53"/>
  <c r="P54" i="53"/>
  <c r="Q54" i="53"/>
  <c r="L55" i="53"/>
  <c r="M55" i="53"/>
  <c r="P55" i="53"/>
  <c r="Q55" i="53"/>
  <c r="S55" i="53"/>
  <c r="W55" i="53"/>
  <c r="Z55" i="53"/>
  <c r="AA55" i="53"/>
  <c r="AC55" i="53"/>
  <c r="L56" i="53"/>
  <c r="M56" i="53"/>
  <c r="P56" i="53"/>
  <c r="Q56" i="53"/>
  <c r="L57" i="53"/>
  <c r="M57" i="53"/>
  <c r="P57" i="53"/>
  <c r="Q57" i="53"/>
  <c r="S57" i="53"/>
  <c r="W57" i="53"/>
  <c r="Z57" i="53"/>
  <c r="AA57" i="53"/>
  <c r="AC57" i="53"/>
  <c r="L58" i="53"/>
  <c r="M58" i="53"/>
  <c r="P58" i="53"/>
  <c r="Q58" i="53"/>
  <c r="L59" i="53"/>
  <c r="M59" i="53"/>
  <c r="P59" i="53"/>
  <c r="Q59" i="53"/>
  <c r="S59" i="53"/>
  <c r="X59" i="53"/>
  <c r="AA59" i="53"/>
  <c r="AC59" i="53"/>
  <c r="L60" i="53"/>
  <c r="M60" i="53"/>
  <c r="P60" i="53"/>
  <c r="Q60" i="53"/>
  <c r="L61" i="53"/>
  <c r="G61" i="53" s="1"/>
  <c r="R61" i="53" s="1"/>
  <c r="M61" i="53"/>
  <c r="P61" i="53"/>
  <c r="Q61" i="53"/>
  <c r="S61" i="53"/>
  <c r="Z61" i="53"/>
  <c r="AA61" i="53"/>
  <c r="AC61" i="53"/>
  <c r="L62" i="53"/>
  <c r="M62" i="53"/>
  <c r="P62" i="53"/>
  <c r="Q62" i="53"/>
  <c r="L63" i="53"/>
  <c r="G63" i="53" s="1"/>
  <c r="R63" i="53" s="1"/>
  <c r="M63" i="53"/>
  <c r="P63" i="53"/>
  <c r="Q63" i="53"/>
  <c r="S63" i="53"/>
  <c r="Z63" i="53"/>
  <c r="L64" i="53"/>
  <c r="M64" i="53"/>
  <c r="P64" i="53"/>
  <c r="Q64" i="53"/>
  <c r="L65" i="53"/>
  <c r="M65" i="53"/>
  <c r="P65" i="53"/>
  <c r="Q65" i="53"/>
  <c r="S65" i="53"/>
  <c r="Z65" i="53"/>
  <c r="AA65" i="53"/>
  <c r="AC65" i="53"/>
  <c r="L66" i="53"/>
  <c r="M66" i="53"/>
  <c r="P66" i="53"/>
  <c r="Q66" i="53"/>
  <c r="L67" i="53"/>
  <c r="G67" i="53" s="1"/>
  <c r="R67" i="53" s="1"/>
  <c r="M67" i="53"/>
  <c r="P67" i="53"/>
  <c r="Q67" i="53"/>
  <c r="S67" i="53"/>
  <c r="Z67" i="53"/>
  <c r="AA67" i="53"/>
  <c r="AC67" i="53"/>
  <c r="L68" i="53"/>
  <c r="M68" i="53"/>
  <c r="P68" i="53"/>
  <c r="Q68" i="53"/>
  <c r="L69" i="53"/>
  <c r="U69" i="53" s="1"/>
  <c r="M69" i="53"/>
  <c r="P69" i="53"/>
  <c r="Q69" i="53"/>
  <c r="S69" i="53"/>
  <c r="Z69" i="53"/>
  <c r="AA69" i="53"/>
  <c r="AC69" i="53"/>
  <c r="L70" i="53"/>
  <c r="M70" i="53"/>
  <c r="P70" i="53"/>
  <c r="Q70" i="53"/>
  <c r="L71" i="53"/>
  <c r="G71" i="53" s="1"/>
  <c r="R71" i="53" s="1"/>
  <c r="M71" i="53"/>
  <c r="P71" i="53"/>
  <c r="Q71" i="53"/>
  <c r="S71" i="53"/>
  <c r="Z71" i="53"/>
  <c r="AA71" i="53"/>
  <c r="AC71" i="53"/>
  <c r="L72" i="53"/>
  <c r="M72" i="53"/>
  <c r="P72" i="53"/>
  <c r="Q72" i="53"/>
  <c r="L73" i="53"/>
  <c r="G73" i="53" s="1"/>
  <c r="R73" i="53" s="1"/>
  <c r="M73" i="53"/>
  <c r="P73" i="53"/>
  <c r="Q73" i="53"/>
  <c r="S73" i="53"/>
  <c r="Z73" i="53"/>
  <c r="AA73" i="53"/>
  <c r="AC73" i="53"/>
  <c r="A74" i="53"/>
  <c r="U74" i="53"/>
  <c r="L78" i="53"/>
  <c r="M78" i="53"/>
  <c r="P78" i="53"/>
  <c r="Q78" i="53"/>
  <c r="L79" i="53"/>
  <c r="M79" i="53"/>
  <c r="P79" i="53"/>
  <c r="Q79" i="53"/>
  <c r="S79" i="53"/>
  <c r="Z79" i="53"/>
  <c r="Y87" i="53" s="1"/>
  <c r="AA79" i="53"/>
  <c r="AC79" i="53"/>
  <c r="L80" i="53"/>
  <c r="M80" i="53"/>
  <c r="P80" i="53"/>
  <c r="Q80" i="53"/>
  <c r="L81" i="53"/>
  <c r="M81" i="53"/>
  <c r="P81" i="53"/>
  <c r="Q81" i="53"/>
  <c r="S81" i="53"/>
  <c r="Z81" i="53"/>
  <c r="AA81" i="53"/>
  <c r="AC81" i="53"/>
  <c r="L82" i="53"/>
  <c r="M82" i="53"/>
  <c r="P82" i="53"/>
  <c r="Q82" i="53"/>
  <c r="L83" i="53"/>
  <c r="M83" i="53"/>
  <c r="P83" i="53"/>
  <c r="Q83" i="53"/>
  <c r="S83" i="53"/>
  <c r="Z83" i="53"/>
  <c r="AA83" i="53"/>
  <c r="AC83" i="53"/>
  <c r="L84" i="53"/>
  <c r="M84" i="53"/>
  <c r="P84" i="53"/>
  <c r="Q84" i="53"/>
  <c r="L85" i="53"/>
  <c r="M85" i="53"/>
  <c r="P85" i="53"/>
  <c r="Q85" i="53"/>
  <c r="S85" i="53"/>
  <c r="Z85" i="53"/>
  <c r="AA85" i="53"/>
  <c r="AC85" i="53"/>
  <c r="L86" i="53"/>
  <c r="M86" i="53"/>
  <c r="P86" i="53"/>
  <c r="Q86" i="53"/>
  <c r="L87" i="53"/>
  <c r="M87" i="53"/>
  <c r="P87" i="53"/>
  <c r="Q87" i="53"/>
  <c r="S87" i="53"/>
  <c r="X87" i="53"/>
  <c r="AA87" i="53"/>
  <c r="AC87" i="53"/>
  <c r="L88" i="53"/>
  <c r="M88" i="53"/>
  <c r="P88" i="53"/>
  <c r="Q88" i="53"/>
  <c r="L89" i="53"/>
  <c r="U89" i="53" s="1"/>
  <c r="M89" i="53"/>
  <c r="P89" i="53"/>
  <c r="Q89" i="53"/>
  <c r="S89" i="53"/>
  <c r="Z89" i="53"/>
  <c r="AA89" i="53"/>
  <c r="AC89" i="53"/>
  <c r="L90" i="53"/>
  <c r="M90" i="53"/>
  <c r="P90" i="53"/>
  <c r="Q90" i="53"/>
  <c r="L91" i="53"/>
  <c r="U91" i="53" s="1"/>
  <c r="M91" i="53"/>
  <c r="P91" i="53"/>
  <c r="Q91" i="53"/>
  <c r="S91" i="53"/>
  <c r="Z91" i="53"/>
  <c r="AA91" i="53"/>
  <c r="AC91" i="53"/>
  <c r="L92" i="53"/>
  <c r="M92" i="53"/>
  <c r="P92" i="53"/>
  <c r="Q92" i="53"/>
  <c r="L93" i="53"/>
  <c r="G93" i="53" s="1"/>
  <c r="R93" i="53" s="1"/>
  <c r="M93" i="53"/>
  <c r="P93" i="53"/>
  <c r="Q93" i="53"/>
  <c r="S93" i="53"/>
  <c r="Z93" i="53"/>
  <c r="L94" i="53"/>
  <c r="M94" i="53"/>
  <c r="P94" i="53"/>
  <c r="Q94" i="53"/>
  <c r="L95" i="53"/>
  <c r="M95" i="53"/>
  <c r="P95" i="53"/>
  <c r="Q95" i="53"/>
  <c r="S95" i="53"/>
  <c r="Z95" i="53"/>
  <c r="AA95" i="53"/>
  <c r="AC95" i="53"/>
  <c r="L96" i="53"/>
  <c r="M96" i="53"/>
  <c r="P96" i="53"/>
  <c r="Q96" i="53"/>
  <c r="L97" i="53"/>
  <c r="M97" i="53"/>
  <c r="P97" i="53"/>
  <c r="Q97" i="53"/>
  <c r="S97" i="53"/>
  <c r="Z97" i="53"/>
  <c r="AA97" i="53"/>
  <c r="AC97" i="53"/>
  <c r="L98" i="53"/>
  <c r="M98" i="53"/>
  <c r="P98" i="53"/>
  <c r="Q98" i="53"/>
  <c r="L99" i="53"/>
  <c r="M99" i="53"/>
  <c r="P99" i="53"/>
  <c r="Q99" i="53"/>
  <c r="S99" i="53"/>
  <c r="Z99" i="53"/>
  <c r="AA99" i="53"/>
  <c r="AC99" i="53"/>
  <c r="L100" i="53"/>
  <c r="M100" i="53"/>
  <c r="P100" i="53"/>
  <c r="Q100" i="53"/>
  <c r="L101" i="53"/>
  <c r="M101" i="53"/>
  <c r="P101" i="53"/>
  <c r="Q101" i="53"/>
  <c r="S101" i="53"/>
  <c r="Z101" i="53"/>
  <c r="AA101" i="53"/>
  <c r="AC101" i="53"/>
  <c r="L102" i="53"/>
  <c r="M102" i="53"/>
  <c r="P102" i="53"/>
  <c r="Q102" i="53"/>
  <c r="L103" i="53"/>
  <c r="M103" i="53"/>
  <c r="P103" i="53"/>
  <c r="Q103" i="53"/>
  <c r="S103" i="53"/>
  <c r="Z103" i="53"/>
  <c r="AA103" i="53"/>
  <c r="AC103" i="53"/>
  <c r="L104" i="53"/>
  <c r="M104" i="53"/>
  <c r="P104" i="53"/>
  <c r="Q104" i="53"/>
  <c r="L105" i="53"/>
  <c r="U105" i="53" s="1"/>
  <c r="M105" i="53"/>
  <c r="P105" i="53"/>
  <c r="Q105" i="53"/>
  <c r="S105" i="53"/>
  <c r="Z105" i="53"/>
  <c r="AA105" i="53"/>
  <c r="AC105" i="53"/>
  <c r="L106" i="53"/>
  <c r="M106" i="53"/>
  <c r="P106" i="53"/>
  <c r="Q106" i="53"/>
  <c r="L107" i="53"/>
  <c r="G107" i="53" s="1"/>
  <c r="R107" i="53" s="1"/>
  <c r="M107" i="53"/>
  <c r="P107" i="53"/>
  <c r="Q107" i="53"/>
  <c r="S107" i="53"/>
  <c r="Z107" i="53"/>
  <c r="L108" i="53"/>
  <c r="M108" i="53"/>
  <c r="P108" i="53"/>
  <c r="Q108" i="53"/>
  <c r="L109" i="53"/>
  <c r="G109" i="53" s="1"/>
  <c r="R109" i="53" s="1"/>
  <c r="M109" i="53"/>
  <c r="P109" i="53"/>
  <c r="Q109" i="53"/>
  <c r="S109" i="53"/>
  <c r="Z109" i="53"/>
  <c r="AA109" i="53"/>
  <c r="AC109" i="53"/>
  <c r="L110" i="53"/>
  <c r="M110" i="53"/>
  <c r="P110" i="53"/>
  <c r="Q110" i="53"/>
  <c r="L111" i="53"/>
  <c r="G111" i="53" s="1"/>
  <c r="R111" i="53" s="1"/>
  <c r="M111" i="53"/>
  <c r="P111" i="53"/>
  <c r="Q111" i="53"/>
  <c r="S111" i="53"/>
  <c r="Z111" i="53"/>
  <c r="AA111" i="53"/>
  <c r="AC111" i="53"/>
  <c r="L112" i="53"/>
  <c r="M112" i="53"/>
  <c r="P112" i="53"/>
  <c r="Q112" i="53"/>
  <c r="L113" i="53"/>
  <c r="U113" i="53" s="1"/>
  <c r="M113" i="53"/>
  <c r="P113" i="53"/>
  <c r="Q113" i="53"/>
  <c r="S113" i="53"/>
  <c r="Z113" i="53"/>
  <c r="AA113" i="53"/>
  <c r="AC113" i="53"/>
  <c r="L114" i="53"/>
  <c r="M114" i="53"/>
  <c r="P114" i="53"/>
  <c r="Q114" i="53"/>
  <c r="L115" i="53"/>
  <c r="G115" i="53" s="1"/>
  <c r="R115" i="53" s="1"/>
  <c r="M115" i="53"/>
  <c r="P115" i="53"/>
  <c r="Q115" i="53"/>
  <c r="S115" i="53"/>
  <c r="Z115" i="53"/>
  <c r="AA115" i="53"/>
  <c r="AC115" i="53"/>
  <c r="L116" i="53"/>
  <c r="M116" i="53"/>
  <c r="P116" i="53"/>
  <c r="Q116" i="53"/>
  <c r="L117" i="53"/>
  <c r="G117" i="53" s="1"/>
  <c r="R117" i="53" s="1"/>
  <c r="M117" i="53"/>
  <c r="P117" i="53"/>
  <c r="Q117" i="53"/>
  <c r="S117" i="53"/>
  <c r="Z117" i="53"/>
  <c r="AA117" i="53"/>
  <c r="AC117" i="53"/>
  <c r="L118" i="53"/>
  <c r="M118" i="53"/>
  <c r="P118" i="53"/>
  <c r="Q118" i="53"/>
  <c r="L119" i="53"/>
  <c r="G119" i="53" s="1"/>
  <c r="R119" i="53" s="1"/>
  <c r="M119" i="53"/>
  <c r="P119" i="53"/>
  <c r="Q119" i="53"/>
  <c r="S119" i="53"/>
  <c r="Z119" i="53"/>
  <c r="AA119" i="53"/>
  <c r="AC119" i="53"/>
  <c r="L120" i="53"/>
  <c r="M120" i="53"/>
  <c r="P120" i="53"/>
  <c r="Q120" i="53"/>
  <c r="L121" i="53"/>
  <c r="U121" i="53" s="1"/>
  <c r="M121" i="53"/>
  <c r="P121" i="53"/>
  <c r="Q121" i="53"/>
  <c r="S121" i="53"/>
  <c r="Z121" i="53"/>
  <c r="AA121" i="53"/>
  <c r="AC121" i="53"/>
  <c r="L122" i="53"/>
  <c r="M122" i="53"/>
  <c r="P122" i="53"/>
  <c r="Q122" i="53"/>
  <c r="L123" i="53"/>
  <c r="G123" i="53" s="1"/>
  <c r="R123" i="53" s="1"/>
  <c r="M123" i="53"/>
  <c r="P123" i="53"/>
  <c r="Q123" i="53"/>
  <c r="S123" i="53"/>
  <c r="Z123" i="53"/>
  <c r="AA123" i="53"/>
  <c r="AC123" i="53"/>
  <c r="L124" i="53"/>
  <c r="M124" i="53"/>
  <c r="P124" i="53"/>
  <c r="Q124" i="53"/>
  <c r="L125" i="53"/>
  <c r="U125" i="53" s="1"/>
  <c r="M125" i="53"/>
  <c r="P125" i="53"/>
  <c r="Q125" i="53"/>
  <c r="S125" i="53"/>
  <c r="Z125" i="53"/>
  <c r="AA125" i="53"/>
  <c r="AC125" i="53"/>
  <c r="L126" i="53"/>
  <c r="M126" i="53"/>
  <c r="P126" i="53"/>
  <c r="Q126" i="53"/>
  <c r="L127" i="53"/>
  <c r="U127" i="53" s="1"/>
  <c r="M127" i="53"/>
  <c r="P127" i="53"/>
  <c r="Q127" i="53"/>
  <c r="S127" i="53"/>
  <c r="Z127" i="53"/>
  <c r="AA127" i="53"/>
  <c r="AC127" i="53"/>
  <c r="L128" i="53"/>
  <c r="M128" i="53"/>
  <c r="P128" i="53"/>
  <c r="Q128" i="53"/>
  <c r="L129" i="53"/>
  <c r="G129" i="53" s="1"/>
  <c r="R129" i="53" s="1"/>
  <c r="M129" i="53"/>
  <c r="P129" i="53"/>
  <c r="Q129" i="53"/>
  <c r="S129" i="53"/>
  <c r="Z129" i="53"/>
  <c r="AA129" i="53"/>
  <c r="AC129" i="53"/>
  <c r="L130" i="53"/>
  <c r="M130" i="53"/>
  <c r="P130" i="53"/>
  <c r="Q130" i="53"/>
  <c r="L131" i="53"/>
  <c r="U131" i="53" s="1"/>
  <c r="M131" i="53"/>
  <c r="P131" i="53"/>
  <c r="Q131" i="53"/>
  <c r="S131" i="53"/>
  <c r="Z131" i="53"/>
  <c r="AA131" i="53"/>
  <c r="AC131" i="53"/>
  <c r="L132" i="53"/>
  <c r="M132" i="53"/>
  <c r="P132" i="53"/>
  <c r="Q132" i="53"/>
  <c r="L133" i="53"/>
  <c r="U133" i="53" s="1"/>
  <c r="M133" i="53"/>
  <c r="P133" i="53"/>
  <c r="Q133" i="53"/>
  <c r="S133" i="53"/>
  <c r="Z133" i="53"/>
  <c r="AA133" i="53"/>
  <c r="AC133" i="53"/>
  <c r="L134" i="53"/>
  <c r="M134" i="53"/>
  <c r="P134" i="53"/>
  <c r="Q134" i="53"/>
  <c r="L135" i="53"/>
  <c r="G135" i="53" s="1"/>
  <c r="R135" i="53" s="1"/>
  <c r="M135" i="53"/>
  <c r="P135" i="53"/>
  <c r="Q135" i="53"/>
  <c r="S135" i="53"/>
  <c r="Z135" i="53"/>
  <c r="AA135" i="53"/>
  <c r="AC135" i="53"/>
  <c r="L136" i="53"/>
  <c r="M136" i="53"/>
  <c r="P136" i="53"/>
  <c r="Q136" i="53"/>
  <c r="L137" i="53"/>
  <c r="U137" i="53" s="1"/>
  <c r="M137" i="53"/>
  <c r="P137" i="53"/>
  <c r="Q137" i="53"/>
  <c r="S137" i="53"/>
  <c r="Z137" i="53"/>
  <c r="AA137" i="53"/>
  <c r="AC137" i="53"/>
  <c r="L138" i="53"/>
  <c r="M138" i="53"/>
  <c r="P138" i="53"/>
  <c r="Q138" i="53"/>
  <c r="L139" i="53"/>
  <c r="G139" i="53" s="1"/>
  <c r="R139" i="53" s="1"/>
  <c r="M139" i="53"/>
  <c r="P139" i="53"/>
  <c r="Q139" i="53"/>
  <c r="S139" i="53"/>
  <c r="Z139" i="53"/>
  <c r="L140" i="53"/>
  <c r="M140" i="53"/>
  <c r="P140" i="53"/>
  <c r="Q140" i="53"/>
  <c r="L141" i="53"/>
  <c r="G141" i="53" s="1"/>
  <c r="R141" i="53" s="1"/>
  <c r="M141" i="53"/>
  <c r="P141" i="53"/>
  <c r="Q141" i="53"/>
  <c r="S141" i="53"/>
  <c r="Z141" i="53"/>
  <c r="L142" i="53"/>
  <c r="M142" i="53"/>
  <c r="P142" i="53"/>
  <c r="Q142" i="53"/>
  <c r="L143" i="53"/>
  <c r="U143" i="53" s="1"/>
  <c r="M143" i="53"/>
  <c r="P143" i="53"/>
  <c r="Q143" i="53"/>
  <c r="S143" i="53"/>
  <c r="Z143" i="53"/>
  <c r="AA143" i="53"/>
  <c r="AC143" i="53"/>
  <c r="A144" i="53"/>
  <c r="G144" i="53"/>
  <c r="U144" i="53" s="1"/>
  <c r="L148" i="53"/>
  <c r="M148" i="53"/>
  <c r="P148" i="53"/>
  <c r="Q148" i="53"/>
  <c r="L149" i="53"/>
  <c r="U149" i="53" s="1"/>
  <c r="M149" i="53"/>
  <c r="P149" i="53"/>
  <c r="Q149" i="53"/>
  <c r="S149" i="53"/>
  <c r="Z149" i="53"/>
  <c r="AA149" i="53"/>
  <c r="AC149" i="53"/>
  <c r="L150" i="53"/>
  <c r="M150" i="53"/>
  <c r="P150" i="53"/>
  <c r="Q150" i="53"/>
  <c r="L151" i="53"/>
  <c r="G151" i="53" s="1"/>
  <c r="R151" i="53" s="1"/>
  <c r="M151" i="53"/>
  <c r="P151" i="53"/>
  <c r="Q151" i="53"/>
  <c r="S151" i="53"/>
  <c r="Z151" i="53"/>
  <c r="AA151" i="53"/>
  <c r="AC151" i="53"/>
  <c r="L152" i="53"/>
  <c r="M152" i="53"/>
  <c r="P152" i="53"/>
  <c r="Q152" i="53"/>
  <c r="L153" i="53"/>
  <c r="M153" i="53"/>
  <c r="P153" i="53"/>
  <c r="Q153" i="53"/>
  <c r="S153" i="53"/>
  <c r="Z153" i="53"/>
  <c r="AA153" i="53"/>
  <c r="AC153" i="53"/>
  <c r="L154" i="53"/>
  <c r="M154" i="53"/>
  <c r="P154" i="53"/>
  <c r="Q154" i="53"/>
  <c r="L155" i="53"/>
  <c r="M155" i="53"/>
  <c r="P155" i="53"/>
  <c r="Q155" i="53"/>
  <c r="S155" i="53"/>
  <c r="Z155" i="53"/>
  <c r="AA155" i="53"/>
  <c r="AC155" i="53"/>
  <c r="L156" i="53"/>
  <c r="M156" i="53"/>
  <c r="P156" i="53"/>
  <c r="Q156" i="53"/>
  <c r="L157" i="53"/>
  <c r="U157" i="53" s="1"/>
  <c r="M157" i="53"/>
  <c r="P157" i="53"/>
  <c r="Q157" i="53"/>
  <c r="S157" i="53"/>
  <c r="Z157" i="53"/>
  <c r="AA157" i="53"/>
  <c r="AC157" i="53"/>
  <c r="L158" i="53"/>
  <c r="M158" i="53"/>
  <c r="P158" i="53"/>
  <c r="Q158" i="53"/>
  <c r="L159" i="53"/>
  <c r="U159" i="53" s="1"/>
  <c r="M159" i="53"/>
  <c r="P159" i="53"/>
  <c r="Q159" i="53"/>
  <c r="S159" i="53"/>
  <c r="Z159" i="53"/>
  <c r="AA159" i="53"/>
  <c r="AC159" i="53"/>
  <c r="L160" i="53"/>
  <c r="M160" i="53"/>
  <c r="P160" i="53"/>
  <c r="Q160" i="53"/>
  <c r="L161" i="53"/>
  <c r="M161" i="53"/>
  <c r="P161" i="53"/>
  <c r="Q161" i="53"/>
  <c r="S161" i="53"/>
  <c r="Z161" i="53"/>
  <c r="AA161" i="53"/>
  <c r="AC161" i="53"/>
  <c r="L162" i="53"/>
  <c r="M162" i="53"/>
  <c r="P162" i="53"/>
  <c r="Q162" i="53"/>
  <c r="L163" i="53"/>
  <c r="G163" i="53" s="1"/>
  <c r="R163" i="53" s="1"/>
  <c r="M163" i="53"/>
  <c r="P163" i="53"/>
  <c r="Q163" i="53"/>
  <c r="S163" i="53"/>
  <c r="Z163" i="53"/>
  <c r="AA163" i="53"/>
  <c r="AC163" i="53"/>
  <c r="L164" i="53"/>
  <c r="M164" i="53"/>
  <c r="P164" i="53"/>
  <c r="Q164" i="53"/>
  <c r="L165" i="53"/>
  <c r="U165" i="53" s="1"/>
  <c r="M165" i="53"/>
  <c r="P165" i="53"/>
  <c r="Q165" i="53"/>
  <c r="S165" i="53"/>
  <c r="Z165" i="53"/>
  <c r="AA165" i="53"/>
  <c r="AC165" i="53"/>
  <c r="L166" i="53"/>
  <c r="M166" i="53"/>
  <c r="P166" i="53"/>
  <c r="Q166" i="53"/>
  <c r="L167" i="53"/>
  <c r="G167" i="53" s="1"/>
  <c r="R167" i="53" s="1"/>
  <c r="M167" i="53"/>
  <c r="P167" i="53"/>
  <c r="Q167" i="53"/>
  <c r="S167" i="53"/>
  <c r="Z167" i="53"/>
  <c r="AA167" i="53"/>
  <c r="AC167" i="53"/>
  <c r="L168" i="53"/>
  <c r="M168" i="53"/>
  <c r="P168" i="53"/>
  <c r="Q168" i="53"/>
  <c r="L169" i="53"/>
  <c r="U169" i="53" s="1"/>
  <c r="M169" i="53"/>
  <c r="P169" i="53"/>
  <c r="Q169" i="53"/>
  <c r="S169" i="53"/>
  <c r="Z169" i="53"/>
  <c r="AA169" i="53"/>
  <c r="AC169" i="53"/>
  <c r="L170" i="53"/>
  <c r="M170" i="53"/>
  <c r="P170" i="53"/>
  <c r="Q170" i="53"/>
  <c r="L171" i="53"/>
  <c r="U171" i="53" s="1"/>
  <c r="M171" i="53"/>
  <c r="P171" i="53"/>
  <c r="Q171" i="53"/>
  <c r="S171" i="53"/>
  <c r="Z171" i="53"/>
  <c r="AA171" i="53"/>
  <c r="AC171" i="53"/>
  <c r="L172" i="53"/>
  <c r="M172" i="53"/>
  <c r="P172" i="53"/>
  <c r="Q172" i="53"/>
  <c r="L173" i="53"/>
  <c r="U173" i="53" s="1"/>
  <c r="M173" i="53"/>
  <c r="P173" i="53"/>
  <c r="Q173" i="53"/>
  <c r="S173" i="53"/>
  <c r="Z173" i="53"/>
  <c r="AA173" i="53"/>
  <c r="AC173" i="53"/>
  <c r="L174" i="53"/>
  <c r="M174" i="53"/>
  <c r="P174" i="53"/>
  <c r="Q174" i="53"/>
  <c r="L175" i="53"/>
  <c r="G175" i="53" s="1"/>
  <c r="R175" i="53" s="1"/>
  <c r="M175" i="53"/>
  <c r="P175" i="53"/>
  <c r="Q175" i="53"/>
  <c r="S175" i="53"/>
  <c r="Z175" i="53"/>
  <c r="AA175" i="53"/>
  <c r="AC175" i="53"/>
  <c r="L176" i="53"/>
  <c r="M176" i="53"/>
  <c r="P176" i="53"/>
  <c r="Q176" i="53"/>
  <c r="L177" i="53"/>
  <c r="G177" i="53" s="1"/>
  <c r="R177" i="53" s="1"/>
  <c r="M177" i="53"/>
  <c r="P177" i="53"/>
  <c r="Q177" i="53"/>
  <c r="S177" i="53"/>
  <c r="Z177" i="53"/>
  <c r="AA177" i="53"/>
  <c r="AC177" i="53"/>
  <c r="L178" i="53"/>
  <c r="M178" i="53"/>
  <c r="P178" i="53"/>
  <c r="Q178" i="53"/>
  <c r="L179" i="53"/>
  <c r="U179" i="53" s="1"/>
  <c r="M179" i="53"/>
  <c r="P179" i="53"/>
  <c r="Q179" i="53"/>
  <c r="S179" i="53"/>
  <c r="Z179" i="53"/>
  <c r="AA179" i="53"/>
  <c r="AC179" i="53"/>
  <c r="L180" i="53"/>
  <c r="M180" i="53"/>
  <c r="P180" i="53"/>
  <c r="Q180" i="53"/>
  <c r="L181" i="53"/>
  <c r="M181" i="53"/>
  <c r="P181" i="53"/>
  <c r="Q181" i="53"/>
  <c r="S181" i="53"/>
  <c r="Z181" i="53"/>
  <c r="AA181" i="53"/>
  <c r="AC181" i="53"/>
  <c r="L182" i="53"/>
  <c r="M182" i="53"/>
  <c r="P182" i="53"/>
  <c r="Q182" i="53"/>
  <c r="L183" i="53"/>
  <c r="U183" i="53" s="1"/>
  <c r="M183" i="53"/>
  <c r="P183" i="53"/>
  <c r="Q183" i="53"/>
  <c r="S183" i="53"/>
  <c r="Z183" i="53"/>
  <c r="AA183" i="53"/>
  <c r="AC183" i="53"/>
  <c r="L184" i="53"/>
  <c r="M184" i="53"/>
  <c r="P184" i="53"/>
  <c r="Q184" i="53"/>
  <c r="L185" i="53"/>
  <c r="U185" i="53" s="1"/>
  <c r="M185" i="53"/>
  <c r="P185" i="53"/>
  <c r="Q185" i="53"/>
  <c r="S185" i="53"/>
  <c r="Z185" i="53"/>
  <c r="AA185" i="53"/>
  <c r="AC185" i="53"/>
  <c r="L186" i="53"/>
  <c r="M186" i="53"/>
  <c r="P186" i="53"/>
  <c r="Q186" i="53"/>
  <c r="L187" i="53"/>
  <c r="G187" i="53" s="1"/>
  <c r="R187" i="53" s="1"/>
  <c r="M187" i="53"/>
  <c r="P187" i="53"/>
  <c r="Q187" i="53"/>
  <c r="S187" i="53"/>
  <c r="Z187" i="53"/>
  <c r="AA187" i="53"/>
  <c r="AC187" i="53"/>
  <c r="L188" i="53"/>
  <c r="M188" i="53"/>
  <c r="P188" i="53"/>
  <c r="Q188" i="53"/>
  <c r="L189" i="53"/>
  <c r="G189" i="53" s="1"/>
  <c r="R189" i="53" s="1"/>
  <c r="M189" i="53"/>
  <c r="P189" i="53"/>
  <c r="Q189" i="53"/>
  <c r="S189" i="53"/>
  <c r="Z189" i="53"/>
  <c r="AA189" i="53"/>
  <c r="AC189" i="53"/>
  <c r="L190" i="53"/>
  <c r="M190" i="53"/>
  <c r="P190" i="53"/>
  <c r="Q190" i="53"/>
  <c r="L191" i="53"/>
  <c r="M191" i="53"/>
  <c r="P191" i="53"/>
  <c r="Q191" i="53"/>
  <c r="S191" i="53"/>
  <c r="Z191" i="53"/>
  <c r="AA191" i="53"/>
  <c r="AC191" i="53"/>
  <c r="L192" i="53"/>
  <c r="M192" i="53"/>
  <c r="P192" i="53"/>
  <c r="Q192" i="53"/>
  <c r="L193" i="53"/>
  <c r="M193" i="53"/>
  <c r="P193" i="53"/>
  <c r="Q193" i="53"/>
  <c r="S193" i="53"/>
  <c r="Z193" i="53"/>
  <c r="AA193" i="53"/>
  <c r="AC193" i="53"/>
  <c r="L194" i="53"/>
  <c r="M194" i="53"/>
  <c r="P194" i="53"/>
  <c r="Q194" i="53"/>
  <c r="L195" i="53"/>
  <c r="G195" i="53" s="1"/>
  <c r="R195" i="53" s="1"/>
  <c r="M195" i="53"/>
  <c r="P195" i="53"/>
  <c r="Q195" i="53"/>
  <c r="S195" i="53"/>
  <c r="Z195" i="53"/>
  <c r="AA195" i="53"/>
  <c r="AC195" i="53"/>
  <c r="L196" i="53"/>
  <c r="M196" i="53"/>
  <c r="P196" i="53"/>
  <c r="Q196" i="53"/>
  <c r="L197" i="53"/>
  <c r="G197" i="53" s="1"/>
  <c r="R197" i="53" s="1"/>
  <c r="M197" i="53"/>
  <c r="P197" i="53"/>
  <c r="Q197" i="53"/>
  <c r="S197" i="53"/>
  <c r="Z197" i="53"/>
  <c r="AA197" i="53"/>
  <c r="AC197" i="53"/>
  <c r="L198" i="53"/>
  <c r="M198" i="53"/>
  <c r="P198" i="53"/>
  <c r="Q198" i="53"/>
  <c r="L199" i="53"/>
  <c r="M199" i="53"/>
  <c r="P199" i="53"/>
  <c r="Q199" i="53"/>
  <c r="S199" i="53"/>
  <c r="Z199" i="53"/>
  <c r="AA199" i="53"/>
  <c r="AC199" i="53"/>
  <c r="L200" i="53"/>
  <c r="M200" i="53"/>
  <c r="P200" i="53"/>
  <c r="Q200" i="53"/>
  <c r="L201" i="53"/>
  <c r="G201" i="53" s="1"/>
  <c r="R201" i="53" s="1"/>
  <c r="M201" i="53"/>
  <c r="P201" i="53"/>
  <c r="Q201" i="53"/>
  <c r="S201" i="53"/>
  <c r="Z201" i="53"/>
  <c r="AA201" i="53"/>
  <c r="AC201" i="53"/>
  <c r="L202" i="53"/>
  <c r="M202" i="53"/>
  <c r="P202" i="53"/>
  <c r="Q202" i="53"/>
  <c r="L203" i="53"/>
  <c r="M203" i="53"/>
  <c r="P203" i="53"/>
  <c r="Q203" i="53"/>
  <c r="S203" i="53"/>
  <c r="Z203" i="53"/>
  <c r="AA203" i="53"/>
  <c r="AC203" i="53"/>
  <c r="L204" i="53"/>
  <c r="M204" i="53"/>
  <c r="P204" i="53"/>
  <c r="Q204" i="53"/>
  <c r="L205" i="53"/>
  <c r="U205" i="53" s="1"/>
  <c r="M205" i="53"/>
  <c r="P205" i="53"/>
  <c r="Q205" i="53"/>
  <c r="S205" i="53"/>
  <c r="Z205" i="53"/>
  <c r="AA205" i="53"/>
  <c r="AC205" i="53"/>
  <c r="L206" i="53"/>
  <c r="M206" i="53"/>
  <c r="P206" i="53"/>
  <c r="Q206" i="53"/>
  <c r="L207" i="53"/>
  <c r="M207" i="53"/>
  <c r="P207" i="53"/>
  <c r="Q207" i="53"/>
  <c r="S207" i="53"/>
  <c r="Z207" i="53"/>
  <c r="AA207" i="53"/>
  <c r="AC207" i="53"/>
  <c r="L208" i="53"/>
  <c r="M208" i="53"/>
  <c r="P208" i="53"/>
  <c r="Q208" i="53"/>
  <c r="L209" i="53"/>
  <c r="M209" i="53"/>
  <c r="P209" i="53"/>
  <c r="Q209" i="53"/>
  <c r="S209" i="53"/>
  <c r="Z209" i="53"/>
  <c r="AA209" i="53"/>
  <c r="AC209" i="53"/>
  <c r="L210" i="53"/>
  <c r="M210" i="53"/>
  <c r="P210" i="53"/>
  <c r="Q210" i="53"/>
  <c r="L211" i="53"/>
  <c r="U211" i="53" s="1"/>
  <c r="M211" i="53"/>
  <c r="P211" i="53"/>
  <c r="Q211" i="53"/>
  <c r="S211" i="53"/>
  <c r="Z211" i="53"/>
  <c r="AA211" i="53"/>
  <c r="AC211" i="53"/>
  <c r="L212" i="53"/>
  <c r="M212" i="53"/>
  <c r="P212" i="53"/>
  <c r="Q212" i="53"/>
  <c r="L213" i="53"/>
  <c r="G213" i="53" s="1"/>
  <c r="R213" i="53" s="1"/>
  <c r="M213" i="53"/>
  <c r="P213" i="53"/>
  <c r="Q213" i="53"/>
  <c r="S213" i="53"/>
  <c r="Z213" i="53"/>
  <c r="AA213" i="53"/>
  <c r="AC213" i="53"/>
  <c r="AD6" i="52"/>
  <c r="AD7" i="52"/>
  <c r="A8" i="52"/>
  <c r="AC8" i="52"/>
  <c r="G56" i="52" s="1"/>
  <c r="R56" i="52" s="1"/>
  <c r="AD8" i="52"/>
  <c r="L12" i="52"/>
  <c r="M12" i="52"/>
  <c r="P12" i="52"/>
  <c r="Q12" i="52"/>
  <c r="L13" i="52"/>
  <c r="M13" i="52"/>
  <c r="P13" i="52"/>
  <c r="Q13" i="52"/>
  <c r="S13" i="52"/>
  <c r="Z13" i="52"/>
  <c r="AA13" i="52"/>
  <c r="AC13" i="52"/>
  <c r="L14" i="52"/>
  <c r="M14" i="52"/>
  <c r="P14" i="52"/>
  <c r="Q14" i="52"/>
  <c r="L15" i="52"/>
  <c r="M15" i="52"/>
  <c r="P15" i="52"/>
  <c r="Q15" i="52"/>
  <c r="S15" i="52"/>
  <c r="Z15" i="52"/>
  <c r="AA15" i="52"/>
  <c r="AC15" i="52"/>
  <c r="L16" i="52"/>
  <c r="M16" i="52"/>
  <c r="P16" i="52"/>
  <c r="Q16" i="52"/>
  <c r="L17" i="52"/>
  <c r="M17" i="52"/>
  <c r="P17" i="52"/>
  <c r="Q17" i="52"/>
  <c r="S17" i="52"/>
  <c r="Z17" i="52"/>
  <c r="AA17" i="52"/>
  <c r="AC17" i="52"/>
  <c r="L18" i="52"/>
  <c r="M18" i="52"/>
  <c r="P18" i="52"/>
  <c r="Q18" i="52"/>
  <c r="L19" i="52"/>
  <c r="M19" i="52"/>
  <c r="P19" i="52"/>
  <c r="Q19" i="52"/>
  <c r="S19" i="52"/>
  <c r="Z19" i="52"/>
  <c r="AA19" i="52"/>
  <c r="AC19" i="52"/>
  <c r="L20" i="52"/>
  <c r="M20" i="52"/>
  <c r="P20" i="52"/>
  <c r="Q20" i="52"/>
  <c r="L21" i="52"/>
  <c r="M21" i="52"/>
  <c r="P21" i="52"/>
  <c r="Q21" i="52"/>
  <c r="S21" i="52"/>
  <c r="Z21" i="52"/>
  <c r="AA21" i="52"/>
  <c r="AC21" i="52"/>
  <c r="L22" i="52"/>
  <c r="M22" i="52"/>
  <c r="P22" i="52"/>
  <c r="Q22" i="52"/>
  <c r="L23" i="52"/>
  <c r="M23" i="52"/>
  <c r="P23" i="52"/>
  <c r="Q23" i="52"/>
  <c r="S23" i="52"/>
  <c r="Z23" i="52"/>
  <c r="AA23" i="52"/>
  <c r="AC23" i="52"/>
  <c r="L24" i="52"/>
  <c r="M24" i="52"/>
  <c r="P24" i="52"/>
  <c r="Q24" i="52"/>
  <c r="L25" i="52"/>
  <c r="M25" i="52"/>
  <c r="P25" i="52"/>
  <c r="Q25" i="52"/>
  <c r="S25" i="52"/>
  <c r="Z25" i="52"/>
  <c r="AA25" i="52"/>
  <c r="AC25" i="52"/>
  <c r="L26" i="52"/>
  <c r="M26" i="52"/>
  <c r="P26" i="52"/>
  <c r="Q26" i="52"/>
  <c r="L27" i="52"/>
  <c r="M27" i="52"/>
  <c r="P27" i="52"/>
  <c r="Q27" i="52"/>
  <c r="S27" i="52"/>
  <c r="X27" i="52"/>
  <c r="AA27" i="52"/>
  <c r="AC27" i="52"/>
  <c r="L28" i="52"/>
  <c r="M28" i="52"/>
  <c r="P28" i="52"/>
  <c r="Q28" i="52"/>
  <c r="L29" i="52"/>
  <c r="G29" i="52" s="1"/>
  <c r="R29" i="52" s="1"/>
  <c r="M29" i="52"/>
  <c r="P29" i="52"/>
  <c r="Q29" i="52"/>
  <c r="S29" i="52"/>
  <c r="Z29" i="52"/>
  <c r="AA29" i="52"/>
  <c r="AC29" i="52"/>
  <c r="L30" i="52"/>
  <c r="M30" i="52"/>
  <c r="P30" i="52"/>
  <c r="Q30" i="52"/>
  <c r="L31" i="52"/>
  <c r="M31" i="52"/>
  <c r="P31" i="52"/>
  <c r="Q31" i="52"/>
  <c r="S31" i="52"/>
  <c r="Z31" i="52"/>
  <c r="L32" i="52"/>
  <c r="G32" i="52" s="1"/>
  <c r="R32" i="52" s="1"/>
  <c r="M32" i="52"/>
  <c r="P32" i="52"/>
  <c r="Q32" i="52"/>
  <c r="L33" i="52"/>
  <c r="M33" i="52"/>
  <c r="P33" i="52"/>
  <c r="Q33" i="52"/>
  <c r="S33" i="52"/>
  <c r="W33" i="52"/>
  <c r="Z33" i="52"/>
  <c r="AA33" i="52"/>
  <c r="AC33" i="52"/>
  <c r="L34" i="52"/>
  <c r="M34" i="52"/>
  <c r="P34" i="52"/>
  <c r="Q34" i="52"/>
  <c r="L35" i="52"/>
  <c r="G35" i="52" s="1"/>
  <c r="R35" i="52" s="1"/>
  <c r="M35" i="52"/>
  <c r="P35" i="52"/>
  <c r="Q35" i="52"/>
  <c r="S35" i="52"/>
  <c r="W35" i="52"/>
  <c r="Z35" i="52"/>
  <c r="Y45" i="52" s="1"/>
  <c r="W45" i="52" s="1"/>
  <c r="AA35" i="52"/>
  <c r="AC35" i="52"/>
  <c r="L36" i="52"/>
  <c r="M36" i="52"/>
  <c r="P36" i="52"/>
  <c r="Q36" i="52"/>
  <c r="L37" i="52"/>
  <c r="M37" i="52"/>
  <c r="P37" i="52"/>
  <c r="Q37" i="52"/>
  <c r="S37" i="52"/>
  <c r="W37" i="52"/>
  <c r="Z37" i="52"/>
  <c r="AA37" i="52"/>
  <c r="AC37" i="52"/>
  <c r="L38" i="52"/>
  <c r="M38" i="52"/>
  <c r="P38" i="52"/>
  <c r="Q38" i="52"/>
  <c r="L39" i="52"/>
  <c r="M39" i="52"/>
  <c r="P39" i="52"/>
  <c r="Q39" i="52"/>
  <c r="S39" i="52"/>
  <c r="W39" i="52"/>
  <c r="Z39" i="52"/>
  <c r="AA39" i="52"/>
  <c r="AC39" i="52"/>
  <c r="L40" i="52"/>
  <c r="G40" i="52" s="1"/>
  <c r="R40" i="52" s="1"/>
  <c r="M40" i="52"/>
  <c r="P40" i="52"/>
  <c r="Q40" i="52"/>
  <c r="L41" i="52"/>
  <c r="M41" i="52"/>
  <c r="P41" i="52"/>
  <c r="Q41" i="52"/>
  <c r="S41" i="52"/>
  <c r="W41" i="52"/>
  <c r="Z41" i="52"/>
  <c r="AA41" i="52"/>
  <c r="AC41" i="52"/>
  <c r="L42" i="52"/>
  <c r="M42" i="52"/>
  <c r="P42" i="52"/>
  <c r="Q42" i="52"/>
  <c r="L43" i="52"/>
  <c r="M43" i="52"/>
  <c r="P43" i="52"/>
  <c r="Q43" i="52"/>
  <c r="S43" i="52"/>
  <c r="W43" i="52"/>
  <c r="Z43" i="52"/>
  <c r="AA43" i="52"/>
  <c r="AC43" i="52"/>
  <c r="L44" i="52"/>
  <c r="M44" i="52"/>
  <c r="P44" i="52"/>
  <c r="Q44" i="52"/>
  <c r="L45" i="52"/>
  <c r="M45" i="52"/>
  <c r="P45" i="52"/>
  <c r="Q45" i="52"/>
  <c r="S45" i="52"/>
  <c r="X45" i="52"/>
  <c r="AA45" i="52"/>
  <c r="AC45" i="52"/>
  <c r="L46" i="52"/>
  <c r="M46" i="52"/>
  <c r="P46" i="52"/>
  <c r="Q46" i="52"/>
  <c r="L47" i="52"/>
  <c r="U47" i="52" s="1"/>
  <c r="M47" i="52"/>
  <c r="P47" i="52"/>
  <c r="Q47" i="52"/>
  <c r="S47" i="52"/>
  <c r="Z47" i="52"/>
  <c r="AA47" i="52"/>
  <c r="AC47" i="52"/>
  <c r="L48" i="52"/>
  <c r="M48" i="52"/>
  <c r="P48" i="52"/>
  <c r="Q48" i="52"/>
  <c r="L49" i="52"/>
  <c r="M49" i="52"/>
  <c r="P49" i="52"/>
  <c r="Q49" i="52"/>
  <c r="S49" i="52"/>
  <c r="W49" i="52"/>
  <c r="Z49" i="52"/>
  <c r="AA49" i="52"/>
  <c r="AC49" i="52"/>
  <c r="L50" i="52"/>
  <c r="M50" i="52"/>
  <c r="P50" i="52"/>
  <c r="Q50" i="52"/>
  <c r="L51" i="52"/>
  <c r="M51" i="52"/>
  <c r="P51" i="52"/>
  <c r="Q51" i="52"/>
  <c r="S51" i="52"/>
  <c r="W51" i="52"/>
  <c r="Z51" i="52"/>
  <c r="AA51" i="52"/>
  <c r="AC51" i="52"/>
  <c r="L52" i="52"/>
  <c r="G52" i="52" s="1"/>
  <c r="R52" i="52" s="1"/>
  <c r="M52" i="52"/>
  <c r="P52" i="52"/>
  <c r="Q52" i="52"/>
  <c r="L53" i="52"/>
  <c r="M53" i="52"/>
  <c r="P53" i="52"/>
  <c r="Q53" i="52"/>
  <c r="S53" i="52"/>
  <c r="W53" i="52"/>
  <c r="Z53" i="52"/>
  <c r="AA53" i="52"/>
  <c r="AC53" i="52"/>
  <c r="L54" i="52"/>
  <c r="M54" i="52"/>
  <c r="P54" i="52"/>
  <c r="Q54" i="52"/>
  <c r="L55" i="52"/>
  <c r="M55" i="52"/>
  <c r="P55" i="52"/>
  <c r="Q55" i="52"/>
  <c r="S55" i="52"/>
  <c r="W55" i="52"/>
  <c r="Z55" i="52"/>
  <c r="AA55" i="52"/>
  <c r="AC55" i="52"/>
  <c r="U74" i="52"/>
  <c r="L78" i="52"/>
  <c r="M78" i="52"/>
  <c r="P78" i="52"/>
  <c r="Q78" i="52"/>
  <c r="L79" i="52"/>
  <c r="M79" i="52"/>
  <c r="P79" i="52"/>
  <c r="Q79" i="52"/>
  <c r="S79" i="52"/>
  <c r="W79" i="52"/>
  <c r="Z79" i="52"/>
  <c r="AA79" i="52"/>
  <c r="AC79" i="52"/>
  <c r="L80" i="52"/>
  <c r="M80" i="52"/>
  <c r="P80" i="52"/>
  <c r="Q80" i="52"/>
  <c r="L81" i="52"/>
  <c r="M81" i="52"/>
  <c r="P81" i="52"/>
  <c r="Q81" i="52"/>
  <c r="S81" i="52"/>
  <c r="W81" i="52"/>
  <c r="Z81" i="52"/>
  <c r="AA81" i="52"/>
  <c r="AC81" i="52"/>
  <c r="L82" i="52"/>
  <c r="M82" i="52"/>
  <c r="P82" i="52"/>
  <c r="Q82" i="52"/>
  <c r="L83" i="52"/>
  <c r="M83" i="52"/>
  <c r="P83" i="52"/>
  <c r="Q83" i="52"/>
  <c r="S83" i="52"/>
  <c r="W83" i="52"/>
  <c r="Z83" i="52"/>
  <c r="AA83" i="52"/>
  <c r="AC83" i="52"/>
  <c r="L84" i="52"/>
  <c r="M84" i="52"/>
  <c r="P84" i="52"/>
  <c r="Q84" i="52"/>
  <c r="L85" i="52"/>
  <c r="G85" i="52" s="1"/>
  <c r="R85" i="52" s="1"/>
  <c r="M85" i="52"/>
  <c r="P85" i="52"/>
  <c r="Q85" i="52"/>
  <c r="S85" i="52"/>
  <c r="X85" i="52"/>
  <c r="AA85" i="52"/>
  <c r="AC85" i="52"/>
  <c r="L86" i="52"/>
  <c r="M86" i="52"/>
  <c r="P86" i="52"/>
  <c r="Q86" i="52"/>
  <c r="L87" i="52"/>
  <c r="U87" i="52" s="1"/>
  <c r="M87" i="52"/>
  <c r="P87" i="52"/>
  <c r="Q87" i="52"/>
  <c r="S87" i="52"/>
  <c r="Z87" i="52"/>
  <c r="AA87" i="52"/>
  <c r="AC87" i="52"/>
  <c r="L88" i="52"/>
  <c r="M88" i="52"/>
  <c r="P88" i="52"/>
  <c r="Q88" i="52"/>
  <c r="L89" i="52"/>
  <c r="G89" i="52" s="1"/>
  <c r="R89" i="52" s="1"/>
  <c r="M89" i="52"/>
  <c r="P89" i="52"/>
  <c r="Q89" i="52"/>
  <c r="S89" i="52"/>
  <c r="Z89" i="52"/>
  <c r="L90" i="52"/>
  <c r="M90" i="52"/>
  <c r="P90" i="52"/>
  <c r="Q90" i="52"/>
  <c r="L91" i="52"/>
  <c r="M91" i="52"/>
  <c r="P91" i="52"/>
  <c r="Q91" i="52"/>
  <c r="S91" i="52"/>
  <c r="Z91" i="52"/>
  <c r="AA91" i="52"/>
  <c r="AC91" i="52"/>
  <c r="L92" i="52"/>
  <c r="M92" i="52"/>
  <c r="P92" i="52"/>
  <c r="Q92" i="52"/>
  <c r="L93" i="52"/>
  <c r="M93" i="52"/>
  <c r="P93" i="52"/>
  <c r="Q93" i="52"/>
  <c r="S93" i="52"/>
  <c r="Z93" i="52"/>
  <c r="AA93" i="52"/>
  <c r="AC93" i="52"/>
  <c r="L94" i="52"/>
  <c r="M94" i="52"/>
  <c r="P94" i="52"/>
  <c r="Q94" i="52"/>
  <c r="L95" i="52"/>
  <c r="M95" i="52"/>
  <c r="P95" i="52"/>
  <c r="Q95" i="52"/>
  <c r="S95" i="52"/>
  <c r="Z95" i="52"/>
  <c r="AA95" i="52"/>
  <c r="AC95" i="52"/>
  <c r="L96" i="52"/>
  <c r="M96" i="52"/>
  <c r="P96" i="52"/>
  <c r="Q96" i="52"/>
  <c r="L97" i="52"/>
  <c r="M97" i="52"/>
  <c r="P97" i="52"/>
  <c r="Q97" i="52"/>
  <c r="S97" i="52"/>
  <c r="Z97" i="52"/>
  <c r="AA97" i="52"/>
  <c r="AC97" i="52"/>
  <c r="L98" i="52"/>
  <c r="M98" i="52"/>
  <c r="P98" i="52"/>
  <c r="Q98" i="52"/>
  <c r="L99" i="52"/>
  <c r="M99" i="52"/>
  <c r="P99" i="52"/>
  <c r="Q99" i="52"/>
  <c r="S99" i="52"/>
  <c r="Z99" i="52"/>
  <c r="AA99" i="52"/>
  <c r="AC99" i="52"/>
  <c r="L100" i="52"/>
  <c r="M100" i="52"/>
  <c r="P100" i="52"/>
  <c r="Q100" i="52"/>
  <c r="L101" i="52"/>
  <c r="M101" i="52"/>
  <c r="P101" i="52"/>
  <c r="Q101" i="52"/>
  <c r="S101" i="52"/>
  <c r="Z101" i="52"/>
  <c r="AA101" i="52"/>
  <c r="AC101" i="52"/>
  <c r="L102" i="52"/>
  <c r="M102" i="52"/>
  <c r="P102" i="52"/>
  <c r="Q102" i="52"/>
  <c r="L103" i="52"/>
  <c r="M103" i="52"/>
  <c r="P103" i="52"/>
  <c r="Q103" i="52"/>
  <c r="S103" i="52"/>
  <c r="Z103" i="52"/>
  <c r="AA103" i="52"/>
  <c r="AC103" i="52"/>
  <c r="L104" i="52"/>
  <c r="M104" i="52"/>
  <c r="P104" i="52"/>
  <c r="Q104" i="52"/>
  <c r="L105" i="52"/>
  <c r="M105" i="52"/>
  <c r="P105" i="52"/>
  <c r="Q105" i="52"/>
  <c r="S105" i="52"/>
  <c r="Z105" i="52"/>
  <c r="AA105" i="52"/>
  <c r="AC105" i="52"/>
  <c r="L106" i="52"/>
  <c r="M106" i="52"/>
  <c r="P106" i="52"/>
  <c r="Q106" i="52"/>
  <c r="L107" i="52"/>
  <c r="G107" i="52" s="1"/>
  <c r="R107" i="52" s="1"/>
  <c r="M107" i="52"/>
  <c r="P107" i="52"/>
  <c r="Q107" i="52"/>
  <c r="S107" i="52"/>
  <c r="Z107" i="52"/>
  <c r="L108" i="52"/>
  <c r="M108" i="52"/>
  <c r="P108" i="52"/>
  <c r="Q108" i="52"/>
  <c r="L109" i="52"/>
  <c r="M109" i="52"/>
  <c r="P109" i="52"/>
  <c r="Q109" i="52"/>
  <c r="S109" i="52"/>
  <c r="Z109" i="52"/>
  <c r="AA109" i="52"/>
  <c r="AC109" i="52"/>
  <c r="L110" i="52"/>
  <c r="M110" i="52"/>
  <c r="P110" i="52"/>
  <c r="Q110" i="52"/>
  <c r="L111" i="52"/>
  <c r="M111" i="52"/>
  <c r="P111" i="52"/>
  <c r="Q111" i="52"/>
  <c r="S111" i="52"/>
  <c r="Z111" i="52"/>
  <c r="AA111" i="52"/>
  <c r="AC111" i="52"/>
  <c r="L112" i="52"/>
  <c r="M112" i="52"/>
  <c r="P112" i="52"/>
  <c r="Q112" i="52"/>
  <c r="L113" i="52"/>
  <c r="M113" i="52"/>
  <c r="P113" i="52"/>
  <c r="Q113" i="52"/>
  <c r="S113" i="52"/>
  <c r="Z113" i="52"/>
  <c r="AA113" i="52"/>
  <c r="AC113" i="52"/>
  <c r="L114" i="52"/>
  <c r="M114" i="52"/>
  <c r="P114" i="52"/>
  <c r="Q114" i="52"/>
  <c r="L115" i="52"/>
  <c r="G115" i="52" s="1"/>
  <c r="R115" i="52" s="1"/>
  <c r="M115" i="52"/>
  <c r="P115" i="52"/>
  <c r="Q115" i="52"/>
  <c r="S115" i="52"/>
  <c r="Z115" i="52"/>
  <c r="AA115" i="52"/>
  <c r="AC115" i="52"/>
  <c r="L116" i="52"/>
  <c r="M116" i="52"/>
  <c r="P116" i="52"/>
  <c r="Q116" i="52"/>
  <c r="L117" i="52"/>
  <c r="M117" i="52"/>
  <c r="P117" i="52"/>
  <c r="Q117" i="52"/>
  <c r="S117" i="52"/>
  <c r="Z117" i="52"/>
  <c r="AA117" i="52"/>
  <c r="AC117" i="52"/>
  <c r="L118" i="52"/>
  <c r="M118" i="52"/>
  <c r="P118" i="52"/>
  <c r="Q118" i="52"/>
  <c r="L119" i="52"/>
  <c r="M119" i="52"/>
  <c r="P119" i="52"/>
  <c r="Q119" i="52"/>
  <c r="S119" i="52"/>
  <c r="Z119" i="52"/>
  <c r="AA119" i="52"/>
  <c r="AC119" i="52"/>
  <c r="L120" i="52"/>
  <c r="M120" i="52"/>
  <c r="P120" i="52"/>
  <c r="Q120" i="52"/>
  <c r="L121" i="52"/>
  <c r="G121" i="52" s="1"/>
  <c r="R121" i="52" s="1"/>
  <c r="M121" i="52"/>
  <c r="P121" i="52"/>
  <c r="Q121" i="52"/>
  <c r="S121" i="52"/>
  <c r="Z121" i="52"/>
  <c r="AA121" i="52"/>
  <c r="AC121" i="52"/>
  <c r="L122" i="52"/>
  <c r="M122" i="52"/>
  <c r="P122" i="52"/>
  <c r="Q122" i="52"/>
  <c r="L123" i="52"/>
  <c r="M123" i="52"/>
  <c r="P123" i="52"/>
  <c r="Q123" i="52"/>
  <c r="S123" i="52"/>
  <c r="Z123" i="52"/>
  <c r="L124" i="52"/>
  <c r="M124" i="52"/>
  <c r="P124" i="52"/>
  <c r="Q124" i="52"/>
  <c r="L125" i="52"/>
  <c r="M125" i="52"/>
  <c r="P125" i="52"/>
  <c r="Q125" i="52"/>
  <c r="S125" i="52"/>
  <c r="Z125" i="52"/>
  <c r="AA125" i="52"/>
  <c r="AC125" i="52"/>
  <c r="L126" i="52"/>
  <c r="M126" i="52"/>
  <c r="P126" i="52"/>
  <c r="Q126" i="52"/>
  <c r="L127" i="52"/>
  <c r="M127" i="52"/>
  <c r="P127" i="52"/>
  <c r="Q127" i="52"/>
  <c r="S127" i="52"/>
  <c r="Z127" i="52"/>
  <c r="AA127" i="52"/>
  <c r="AC127" i="52"/>
  <c r="L128" i="52"/>
  <c r="M128" i="52"/>
  <c r="P128" i="52"/>
  <c r="Q128" i="52"/>
  <c r="F129" i="52"/>
  <c r="Z129" i="52" s="1"/>
  <c r="M129" i="52"/>
  <c r="P129" i="52"/>
  <c r="Q129" i="52"/>
  <c r="S129" i="52"/>
  <c r="AA129" i="52"/>
  <c r="AC129" i="52"/>
  <c r="L130" i="52"/>
  <c r="M130" i="52"/>
  <c r="P130" i="52"/>
  <c r="Q130" i="52"/>
  <c r="L131" i="52"/>
  <c r="M131" i="52"/>
  <c r="P131" i="52"/>
  <c r="Q131" i="52"/>
  <c r="S131" i="52"/>
  <c r="Z131" i="52"/>
  <c r="AA131" i="52"/>
  <c r="AC131" i="52"/>
  <c r="L132" i="52"/>
  <c r="M132" i="52"/>
  <c r="P132" i="52"/>
  <c r="Q132" i="52"/>
  <c r="L133" i="52"/>
  <c r="M133" i="52"/>
  <c r="P133" i="52"/>
  <c r="Q133" i="52"/>
  <c r="S133" i="52"/>
  <c r="Z133" i="52"/>
  <c r="AA133" i="52"/>
  <c r="AC133" i="52"/>
  <c r="L134" i="52"/>
  <c r="M134" i="52"/>
  <c r="P134" i="52"/>
  <c r="Q134" i="52"/>
  <c r="L135" i="52"/>
  <c r="M135" i="52"/>
  <c r="P135" i="52"/>
  <c r="Q135" i="52"/>
  <c r="S135" i="52"/>
  <c r="Z135" i="52"/>
  <c r="AA135" i="52"/>
  <c r="AC135" i="52"/>
  <c r="L136" i="52"/>
  <c r="M136" i="52"/>
  <c r="P136" i="52"/>
  <c r="Q136" i="52"/>
  <c r="L137" i="52"/>
  <c r="M137" i="52"/>
  <c r="P137" i="52"/>
  <c r="Q137" i="52"/>
  <c r="S137" i="52"/>
  <c r="Z137" i="52"/>
  <c r="AA137" i="52"/>
  <c r="AC137" i="52"/>
  <c r="L138" i="52"/>
  <c r="M138" i="52"/>
  <c r="P138" i="52"/>
  <c r="Q138" i="52"/>
  <c r="L139" i="52"/>
  <c r="M139" i="52"/>
  <c r="P139" i="52"/>
  <c r="Q139" i="52"/>
  <c r="S139" i="52"/>
  <c r="Z139" i="52"/>
  <c r="AA139" i="52"/>
  <c r="AC139" i="52"/>
  <c r="L140" i="52"/>
  <c r="M140" i="52"/>
  <c r="P140" i="52"/>
  <c r="Q140" i="52"/>
  <c r="L141" i="52"/>
  <c r="M141" i="52"/>
  <c r="P141" i="52"/>
  <c r="Q141" i="52"/>
  <c r="S141" i="52"/>
  <c r="W141" i="52"/>
  <c r="Z141" i="52"/>
  <c r="AA141" i="52"/>
  <c r="AC141" i="52"/>
  <c r="L142" i="52"/>
  <c r="M142" i="52"/>
  <c r="P142" i="52"/>
  <c r="Q142" i="52"/>
  <c r="L143" i="52"/>
  <c r="G143" i="52" s="1"/>
  <c r="R143" i="52" s="1"/>
  <c r="M143" i="52"/>
  <c r="P143" i="52"/>
  <c r="Q143" i="52"/>
  <c r="S143" i="52"/>
  <c r="Z143" i="52"/>
  <c r="A144" i="52"/>
  <c r="G144" i="52"/>
  <c r="U144" i="52" s="1"/>
  <c r="L148" i="52"/>
  <c r="M148" i="52"/>
  <c r="P148" i="52"/>
  <c r="Q148" i="52"/>
  <c r="L149" i="52"/>
  <c r="M149" i="52"/>
  <c r="P149" i="52"/>
  <c r="Q149" i="52"/>
  <c r="S149" i="52"/>
  <c r="Z149" i="52"/>
  <c r="AA149" i="52"/>
  <c r="AC149" i="52"/>
  <c r="L150" i="52"/>
  <c r="M150" i="52"/>
  <c r="P150" i="52"/>
  <c r="Q150" i="52"/>
  <c r="L151" i="52"/>
  <c r="M151" i="52"/>
  <c r="P151" i="52"/>
  <c r="Q151" i="52"/>
  <c r="S151" i="52"/>
  <c r="Z151" i="52"/>
  <c r="AA151" i="52"/>
  <c r="AC151" i="52"/>
  <c r="L152" i="52"/>
  <c r="M152" i="52"/>
  <c r="P152" i="52"/>
  <c r="Q152" i="52"/>
  <c r="L153" i="52"/>
  <c r="M153" i="52"/>
  <c r="P153" i="52"/>
  <c r="Q153" i="52"/>
  <c r="S153" i="52"/>
  <c r="Z153" i="52"/>
  <c r="AA153" i="52"/>
  <c r="AC153" i="52"/>
  <c r="L154" i="52"/>
  <c r="M154" i="52"/>
  <c r="P154" i="52"/>
  <c r="Q154" i="52"/>
  <c r="L155" i="52"/>
  <c r="M155" i="52"/>
  <c r="P155" i="52"/>
  <c r="Q155" i="52"/>
  <c r="S155" i="52"/>
  <c r="Z155" i="52"/>
  <c r="AA155" i="52"/>
  <c r="AC155" i="52"/>
  <c r="L156" i="52"/>
  <c r="M156" i="52"/>
  <c r="P156" i="52"/>
  <c r="Q156" i="52"/>
  <c r="L157" i="52"/>
  <c r="M157" i="52"/>
  <c r="P157" i="52"/>
  <c r="Q157" i="52"/>
  <c r="S157" i="52"/>
  <c r="Z157" i="52"/>
  <c r="AA157" i="52"/>
  <c r="AC157" i="52"/>
  <c r="L158" i="52"/>
  <c r="M158" i="52"/>
  <c r="P158" i="52"/>
  <c r="Q158" i="52"/>
  <c r="L159" i="52"/>
  <c r="U159" i="52" s="1"/>
  <c r="M159" i="52"/>
  <c r="P159" i="52"/>
  <c r="Q159" i="52"/>
  <c r="S159" i="52"/>
  <c r="Z159" i="52"/>
  <c r="AA159" i="52"/>
  <c r="AC159" i="52"/>
  <c r="L160" i="52"/>
  <c r="M160" i="52"/>
  <c r="P160" i="52"/>
  <c r="Q160" i="52"/>
  <c r="L161" i="52"/>
  <c r="G161" i="52" s="1"/>
  <c r="R161" i="52" s="1"/>
  <c r="M161" i="52"/>
  <c r="P161" i="52"/>
  <c r="Q161" i="52"/>
  <c r="S161" i="52"/>
  <c r="Z161" i="52"/>
  <c r="L162" i="52"/>
  <c r="M162" i="52"/>
  <c r="P162" i="52"/>
  <c r="Q162" i="52"/>
  <c r="L163" i="52"/>
  <c r="M163" i="52"/>
  <c r="P163" i="52"/>
  <c r="Q163" i="52"/>
  <c r="S163" i="52"/>
  <c r="Z163" i="52"/>
  <c r="AA163" i="52"/>
  <c r="AC163" i="52"/>
  <c r="L164" i="52"/>
  <c r="M164" i="52"/>
  <c r="P164" i="52"/>
  <c r="Q164" i="52"/>
  <c r="L165" i="52"/>
  <c r="M165" i="52"/>
  <c r="P165" i="52"/>
  <c r="Q165" i="52"/>
  <c r="S165" i="52"/>
  <c r="Z165" i="52"/>
  <c r="AA165" i="52"/>
  <c r="AC165" i="52"/>
  <c r="L166" i="52"/>
  <c r="M166" i="52"/>
  <c r="P166" i="52"/>
  <c r="Q166" i="52"/>
  <c r="L167" i="52"/>
  <c r="M167" i="52"/>
  <c r="P167" i="52"/>
  <c r="Q167" i="52"/>
  <c r="S167" i="52"/>
  <c r="Z167" i="52"/>
  <c r="AA167" i="52"/>
  <c r="AC167" i="52"/>
  <c r="L168" i="52"/>
  <c r="M168" i="52"/>
  <c r="P168" i="52"/>
  <c r="Q168" i="52"/>
  <c r="L169" i="52"/>
  <c r="G169" i="52" s="1"/>
  <c r="R169" i="52" s="1"/>
  <c r="M169" i="52"/>
  <c r="P169" i="52"/>
  <c r="Q169" i="52"/>
  <c r="S169" i="52"/>
  <c r="Z169" i="52"/>
  <c r="L170" i="52"/>
  <c r="M170" i="52"/>
  <c r="P170" i="52"/>
  <c r="Q170" i="52"/>
  <c r="L171" i="52"/>
  <c r="G171" i="52" s="1"/>
  <c r="R171" i="52" s="1"/>
  <c r="M171" i="52"/>
  <c r="P171" i="52"/>
  <c r="Q171" i="52"/>
  <c r="S171" i="52"/>
  <c r="Z171" i="52"/>
  <c r="AA171" i="52"/>
  <c r="AC171" i="52"/>
  <c r="L172" i="52"/>
  <c r="M172" i="52"/>
  <c r="P172" i="52"/>
  <c r="Q172" i="52"/>
  <c r="L173" i="52"/>
  <c r="U173" i="52" s="1"/>
  <c r="M173" i="52"/>
  <c r="P173" i="52"/>
  <c r="Q173" i="52"/>
  <c r="S173" i="52"/>
  <c r="Z173" i="52"/>
  <c r="AA173" i="52"/>
  <c r="AC173" i="52"/>
  <c r="L174" i="52"/>
  <c r="M174" i="52"/>
  <c r="P174" i="52"/>
  <c r="Q174" i="52"/>
  <c r="L175" i="52"/>
  <c r="M175" i="52"/>
  <c r="P175" i="52"/>
  <c r="Q175" i="52"/>
  <c r="S175" i="52"/>
  <c r="Z175" i="52"/>
  <c r="AA175" i="52"/>
  <c r="AC175" i="52"/>
  <c r="L176" i="52"/>
  <c r="M176" i="52"/>
  <c r="P176" i="52"/>
  <c r="Q176" i="52"/>
  <c r="L177" i="52"/>
  <c r="G177" i="52" s="1"/>
  <c r="R177" i="52" s="1"/>
  <c r="M177" i="52"/>
  <c r="P177" i="52"/>
  <c r="Q177" i="52"/>
  <c r="S177" i="52"/>
  <c r="Z177" i="52"/>
  <c r="AA177" i="52"/>
  <c r="AC177" i="52"/>
  <c r="L178" i="52"/>
  <c r="M178" i="52"/>
  <c r="P178" i="52"/>
  <c r="Q178" i="52"/>
  <c r="L179" i="52"/>
  <c r="G179" i="52" s="1"/>
  <c r="R179" i="52" s="1"/>
  <c r="M179" i="52"/>
  <c r="P179" i="52"/>
  <c r="Q179" i="52"/>
  <c r="S179" i="52"/>
  <c r="Z179" i="52"/>
  <c r="AA179" i="52"/>
  <c r="AC179" i="52"/>
  <c r="L180" i="52"/>
  <c r="M180" i="52"/>
  <c r="P180" i="52"/>
  <c r="Q180" i="52"/>
  <c r="L181" i="52"/>
  <c r="M181" i="52"/>
  <c r="P181" i="52"/>
  <c r="Q181" i="52"/>
  <c r="S181" i="52"/>
  <c r="Z181" i="52"/>
  <c r="AA181" i="52"/>
  <c r="AC181" i="52"/>
  <c r="L182" i="52"/>
  <c r="M182" i="52"/>
  <c r="P182" i="52"/>
  <c r="Q182" i="52"/>
  <c r="L183" i="52"/>
  <c r="G183" i="52" s="1"/>
  <c r="R183" i="52" s="1"/>
  <c r="M183" i="52"/>
  <c r="P183" i="52"/>
  <c r="Q183" i="52"/>
  <c r="S183" i="52"/>
  <c r="Z183" i="52"/>
  <c r="AA183" i="52"/>
  <c r="AC183" i="52"/>
  <c r="L184" i="52"/>
  <c r="M184" i="52"/>
  <c r="P184" i="52"/>
  <c r="Q184" i="52"/>
  <c r="L185" i="52"/>
  <c r="G185" i="52" s="1"/>
  <c r="R185" i="52" s="1"/>
  <c r="M185" i="52"/>
  <c r="P185" i="52"/>
  <c r="Q185" i="52"/>
  <c r="S185" i="52"/>
  <c r="Z185" i="52"/>
  <c r="AA185" i="52"/>
  <c r="AC185" i="52"/>
  <c r="L186" i="52"/>
  <c r="M186" i="52"/>
  <c r="P186" i="52"/>
  <c r="Q186" i="52"/>
  <c r="L187" i="52"/>
  <c r="U187" i="52" s="1"/>
  <c r="M187" i="52"/>
  <c r="P187" i="52"/>
  <c r="Q187" i="52"/>
  <c r="S187" i="52"/>
  <c r="Z187" i="52"/>
  <c r="AA187" i="52"/>
  <c r="AC187" i="52"/>
  <c r="L188" i="52"/>
  <c r="M188" i="52"/>
  <c r="P188" i="52"/>
  <c r="Q188" i="52"/>
  <c r="L189" i="52"/>
  <c r="G189" i="52" s="1"/>
  <c r="R189" i="52" s="1"/>
  <c r="M189" i="52"/>
  <c r="P189" i="52"/>
  <c r="Q189" i="52"/>
  <c r="S189" i="52"/>
  <c r="Z189" i="52"/>
  <c r="AA189" i="52"/>
  <c r="AC189" i="52"/>
  <c r="L190" i="52"/>
  <c r="M190" i="52"/>
  <c r="P190" i="52"/>
  <c r="Q190" i="52"/>
  <c r="L191" i="52"/>
  <c r="U191" i="52" s="1"/>
  <c r="M191" i="52"/>
  <c r="P191" i="52"/>
  <c r="Q191" i="52"/>
  <c r="S191" i="52"/>
  <c r="Z191" i="52"/>
  <c r="AA191" i="52"/>
  <c r="AC191" i="52"/>
  <c r="L192" i="52"/>
  <c r="M192" i="52"/>
  <c r="P192" i="52"/>
  <c r="Q192" i="52"/>
  <c r="L193" i="52"/>
  <c r="U193" i="52" s="1"/>
  <c r="M193" i="52"/>
  <c r="P193" i="52"/>
  <c r="Q193" i="52"/>
  <c r="S193" i="52"/>
  <c r="Z193" i="52"/>
  <c r="AA193" i="52"/>
  <c r="AC193" i="52"/>
  <c r="L194" i="52"/>
  <c r="M194" i="52"/>
  <c r="P194" i="52"/>
  <c r="Q194" i="52"/>
  <c r="L195" i="52"/>
  <c r="U195" i="52" s="1"/>
  <c r="M195" i="52"/>
  <c r="P195" i="52"/>
  <c r="Q195" i="52"/>
  <c r="S195" i="52"/>
  <c r="Z195" i="52"/>
  <c r="AA195" i="52"/>
  <c r="AC195" i="52"/>
  <c r="L196" i="52"/>
  <c r="M196" i="52"/>
  <c r="P196" i="52"/>
  <c r="Q196" i="52"/>
  <c r="L197" i="52"/>
  <c r="U197" i="52" s="1"/>
  <c r="M197" i="52"/>
  <c r="P197" i="52"/>
  <c r="Q197" i="52"/>
  <c r="S197" i="52"/>
  <c r="Z197" i="52"/>
  <c r="AA197" i="52"/>
  <c r="AC197" i="52"/>
  <c r="L198" i="52"/>
  <c r="M198" i="52"/>
  <c r="P198" i="52"/>
  <c r="Q198" i="52"/>
  <c r="L199" i="52"/>
  <c r="G199" i="52" s="1"/>
  <c r="R199" i="52" s="1"/>
  <c r="M199" i="52"/>
  <c r="P199" i="52"/>
  <c r="Q199" i="52"/>
  <c r="S199" i="52"/>
  <c r="Z199" i="52"/>
  <c r="AA199" i="52"/>
  <c r="AC199" i="52"/>
  <c r="L200" i="52"/>
  <c r="M200" i="52"/>
  <c r="P200" i="52"/>
  <c r="Q200" i="52"/>
  <c r="L201" i="52"/>
  <c r="G201" i="52" s="1"/>
  <c r="R201" i="52" s="1"/>
  <c r="M201" i="52"/>
  <c r="P201" i="52"/>
  <c r="Q201" i="52"/>
  <c r="S201" i="52"/>
  <c r="Z201" i="52"/>
  <c r="AA201" i="52"/>
  <c r="AC201" i="52"/>
  <c r="L202" i="52"/>
  <c r="M202" i="52"/>
  <c r="P202" i="52"/>
  <c r="Q202" i="52"/>
  <c r="L203" i="52"/>
  <c r="G203" i="52" s="1"/>
  <c r="R203" i="52" s="1"/>
  <c r="M203" i="52"/>
  <c r="P203" i="52"/>
  <c r="Q203" i="52"/>
  <c r="S203" i="52"/>
  <c r="Z203" i="52"/>
  <c r="AA203" i="52"/>
  <c r="AC203" i="52"/>
  <c r="L204" i="52"/>
  <c r="M204" i="52"/>
  <c r="P204" i="52"/>
  <c r="Q204" i="52"/>
  <c r="L205" i="52"/>
  <c r="U205" i="52" s="1"/>
  <c r="M205" i="52"/>
  <c r="P205" i="52"/>
  <c r="Q205" i="52"/>
  <c r="S205" i="52"/>
  <c r="Z205" i="52"/>
  <c r="AA205" i="52"/>
  <c r="AC205" i="52"/>
  <c r="L206" i="52"/>
  <c r="M206" i="52"/>
  <c r="P206" i="52"/>
  <c r="Q206" i="52"/>
  <c r="L207" i="52"/>
  <c r="G207" i="52" s="1"/>
  <c r="R207" i="52" s="1"/>
  <c r="M207" i="52"/>
  <c r="P207" i="52"/>
  <c r="Q207" i="52"/>
  <c r="S207" i="52"/>
  <c r="Z207" i="52"/>
  <c r="AA207" i="52"/>
  <c r="AC207" i="52"/>
  <c r="L208" i="52"/>
  <c r="M208" i="52"/>
  <c r="P208" i="52"/>
  <c r="Q208" i="52"/>
  <c r="L209" i="52"/>
  <c r="G209" i="52" s="1"/>
  <c r="R209" i="52" s="1"/>
  <c r="M209" i="52"/>
  <c r="P209" i="52"/>
  <c r="Q209" i="52"/>
  <c r="S209" i="52"/>
  <c r="Z209" i="52"/>
  <c r="L210" i="52"/>
  <c r="M210" i="52"/>
  <c r="P210" i="52"/>
  <c r="Q210" i="52"/>
  <c r="L211" i="52"/>
  <c r="G211" i="52" s="1"/>
  <c r="R211" i="52" s="1"/>
  <c r="M211" i="52"/>
  <c r="P211" i="52"/>
  <c r="Q211" i="52"/>
  <c r="S211" i="52"/>
  <c r="Z211" i="52"/>
  <c r="L212" i="52"/>
  <c r="M212" i="52"/>
  <c r="P212" i="52"/>
  <c r="Q212" i="52"/>
  <c r="L213" i="52"/>
  <c r="U213" i="52" s="1"/>
  <c r="M213" i="52"/>
  <c r="P213" i="52"/>
  <c r="Q213" i="52"/>
  <c r="S213" i="52"/>
  <c r="Z213" i="52"/>
  <c r="AA213" i="52"/>
  <c r="AC213" i="52"/>
  <c r="A214" i="52"/>
  <c r="G214" i="52"/>
  <c r="U214" i="52" s="1"/>
  <c r="L218" i="52"/>
  <c r="M218" i="52"/>
  <c r="P218" i="52"/>
  <c r="Q218" i="52"/>
  <c r="L219" i="52"/>
  <c r="U219" i="52" s="1"/>
  <c r="M219" i="52"/>
  <c r="P219" i="52"/>
  <c r="Q219" i="52"/>
  <c r="S219" i="52"/>
  <c r="Z219" i="52"/>
  <c r="AA219" i="52"/>
  <c r="AC219" i="52"/>
  <c r="L220" i="52"/>
  <c r="M220" i="52"/>
  <c r="P220" i="52"/>
  <c r="Q220" i="52"/>
  <c r="L221" i="52"/>
  <c r="G221" i="52" s="1"/>
  <c r="R221" i="52" s="1"/>
  <c r="M221" i="52"/>
  <c r="P221" i="52"/>
  <c r="Q221" i="52"/>
  <c r="S221" i="52"/>
  <c r="Z221" i="52"/>
  <c r="AA221" i="52"/>
  <c r="AC221" i="52"/>
  <c r="L222" i="52"/>
  <c r="M222" i="52"/>
  <c r="P222" i="52"/>
  <c r="Q222" i="52"/>
  <c r="L223" i="52"/>
  <c r="G223" i="52" s="1"/>
  <c r="R223" i="52" s="1"/>
  <c r="M223" i="52"/>
  <c r="P223" i="52"/>
  <c r="Q223" i="52"/>
  <c r="S223" i="52"/>
  <c r="Z223" i="52"/>
  <c r="AA223" i="52"/>
  <c r="AC223" i="52"/>
  <c r="L224" i="52"/>
  <c r="M224" i="52"/>
  <c r="P224" i="52"/>
  <c r="Q224" i="52"/>
  <c r="L225" i="52"/>
  <c r="G225" i="52" s="1"/>
  <c r="R225" i="52" s="1"/>
  <c r="M225" i="52"/>
  <c r="P225" i="52"/>
  <c r="Q225" i="52"/>
  <c r="S225" i="52"/>
  <c r="Z225" i="52"/>
  <c r="AA225" i="52"/>
  <c r="AC225" i="52"/>
  <c r="L226" i="52"/>
  <c r="M226" i="52"/>
  <c r="P226" i="52"/>
  <c r="Q226" i="52"/>
  <c r="L227" i="52"/>
  <c r="M227" i="52"/>
  <c r="P227" i="52"/>
  <c r="Q227" i="52"/>
  <c r="S227" i="52"/>
  <c r="Z227" i="52"/>
  <c r="AA227" i="52"/>
  <c r="AC227" i="52"/>
  <c r="L228" i="52"/>
  <c r="M228" i="52"/>
  <c r="P228" i="52"/>
  <c r="Q228" i="52"/>
  <c r="L229" i="52"/>
  <c r="U229" i="52" s="1"/>
  <c r="M229" i="52"/>
  <c r="P229" i="52"/>
  <c r="Q229" i="52"/>
  <c r="S229" i="52"/>
  <c r="Z229" i="52"/>
  <c r="AA229" i="52"/>
  <c r="AC229" i="52"/>
  <c r="L230" i="52"/>
  <c r="M230" i="52"/>
  <c r="P230" i="52"/>
  <c r="Q230" i="52"/>
  <c r="L231" i="52"/>
  <c r="G231" i="52" s="1"/>
  <c r="R231" i="52" s="1"/>
  <c r="M231" i="52"/>
  <c r="P231" i="52"/>
  <c r="Q231" i="52"/>
  <c r="S231" i="52"/>
  <c r="Z231" i="52"/>
  <c r="AA231" i="52"/>
  <c r="AC231" i="52"/>
  <c r="L232" i="52"/>
  <c r="M232" i="52"/>
  <c r="P232" i="52"/>
  <c r="Q232" i="52"/>
  <c r="L233" i="52"/>
  <c r="G233" i="52" s="1"/>
  <c r="R233" i="52" s="1"/>
  <c r="M233" i="52"/>
  <c r="P233" i="52"/>
  <c r="Q233" i="52"/>
  <c r="S233" i="52"/>
  <c r="Z233" i="52"/>
  <c r="AA233" i="52"/>
  <c r="AC233" i="52"/>
  <c r="L234" i="52"/>
  <c r="M234" i="52"/>
  <c r="P234" i="52"/>
  <c r="Q234" i="52"/>
  <c r="L235" i="52"/>
  <c r="U235" i="52" s="1"/>
  <c r="M235" i="52"/>
  <c r="P235" i="52"/>
  <c r="Q235" i="52"/>
  <c r="S235" i="52"/>
  <c r="Z235" i="52"/>
  <c r="AA235" i="52"/>
  <c r="AC235" i="52"/>
  <c r="L236" i="52"/>
  <c r="M236" i="52"/>
  <c r="P236" i="52"/>
  <c r="Q236" i="52"/>
  <c r="L237" i="52"/>
  <c r="G237" i="52" s="1"/>
  <c r="R237" i="52" s="1"/>
  <c r="M237" i="52"/>
  <c r="P237" i="52"/>
  <c r="Q237" i="52"/>
  <c r="S237" i="52"/>
  <c r="Z237" i="52"/>
  <c r="AA237" i="52"/>
  <c r="AC237" i="52"/>
  <c r="L238" i="52"/>
  <c r="M238" i="52"/>
  <c r="P238" i="52"/>
  <c r="Q238" i="52"/>
  <c r="L239" i="52"/>
  <c r="G239" i="52" s="1"/>
  <c r="R239" i="52" s="1"/>
  <c r="M239" i="52"/>
  <c r="P239" i="52"/>
  <c r="Q239" i="52"/>
  <c r="S239" i="52"/>
  <c r="Z239" i="52"/>
  <c r="AA239" i="52"/>
  <c r="AC239" i="52"/>
  <c r="L240" i="52"/>
  <c r="M240" i="52"/>
  <c r="P240" i="52"/>
  <c r="Q240" i="52"/>
  <c r="L241" i="52"/>
  <c r="U241" i="52" s="1"/>
  <c r="M241" i="52"/>
  <c r="P241" i="52"/>
  <c r="Q241" i="52"/>
  <c r="S241" i="52"/>
  <c r="Z241" i="52"/>
  <c r="AA241" i="52"/>
  <c r="AC241" i="52"/>
  <c r="L242" i="52"/>
  <c r="M242" i="52"/>
  <c r="P242" i="52"/>
  <c r="Q242" i="52"/>
  <c r="L243" i="52"/>
  <c r="U243" i="52" s="1"/>
  <c r="M243" i="52"/>
  <c r="P243" i="52"/>
  <c r="Q243" i="52"/>
  <c r="S243" i="52"/>
  <c r="Z243" i="52"/>
  <c r="AA243" i="52"/>
  <c r="AC243" i="52"/>
  <c r="L244" i="52"/>
  <c r="M244" i="52"/>
  <c r="P244" i="52"/>
  <c r="Q244" i="52"/>
  <c r="L245" i="52"/>
  <c r="U245" i="52" s="1"/>
  <c r="M245" i="52"/>
  <c r="P245" i="52"/>
  <c r="Q245" i="52"/>
  <c r="S245" i="52"/>
  <c r="Z245" i="52"/>
  <c r="AA245" i="52"/>
  <c r="AC245" i="52"/>
  <c r="L246" i="52"/>
  <c r="M246" i="52"/>
  <c r="P246" i="52"/>
  <c r="Q246" i="52"/>
  <c r="L247" i="52"/>
  <c r="G247" i="52" s="1"/>
  <c r="R247" i="52" s="1"/>
  <c r="M247" i="52"/>
  <c r="P247" i="52"/>
  <c r="Q247" i="52"/>
  <c r="S247" i="52"/>
  <c r="Z247" i="52"/>
  <c r="AA247" i="52"/>
  <c r="AC247" i="52"/>
  <c r="L248" i="52"/>
  <c r="M248" i="52"/>
  <c r="P248" i="52"/>
  <c r="Q248" i="52"/>
  <c r="L249" i="52"/>
  <c r="G249" i="52" s="1"/>
  <c r="R249" i="52" s="1"/>
  <c r="M249" i="52"/>
  <c r="P249" i="52"/>
  <c r="Q249" i="52"/>
  <c r="S249" i="52"/>
  <c r="Z249" i="52"/>
  <c r="AA249" i="52"/>
  <c r="AC249" i="52"/>
  <c r="L250" i="52"/>
  <c r="M250" i="52"/>
  <c r="P250" i="52"/>
  <c r="Q250" i="52"/>
  <c r="L251" i="52"/>
  <c r="G251" i="52" s="1"/>
  <c r="R251" i="52" s="1"/>
  <c r="M251" i="52"/>
  <c r="P251" i="52"/>
  <c r="Q251" i="52"/>
  <c r="S251" i="52"/>
  <c r="Z251" i="52"/>
  <c r="AA251" i="52"/>
  <c r="AC251" i="52"/>
  <c r="L252" i="52"/>
  <c r="M252" i="52"/>
  <c r="P252" i="52"/>
  <c r="Q252" i="52"/>
  <c r="L253" i="52"/>
  <c r="M253" i="52"/>
  <c r="P253" i="52"/>
  <c r="Q253" i="52"/>
  <c r="S253" i="52"/>
  <c r="Z253" i="52"/>
  <c r="AA253" i="52"/>
  <c r="AC253" i="52"/>
  <c r="L254" i="52"/>
  <c r="M254" i="52"/>
  <c r="P254" i="52"/>
  <c r="Q254" i="52"/>
  <c r="L255" i="52"/>
  <c r="G255" i="52" s="1"/>
  <c r="R255" i="52" s="1"/>
  <c r="M255" i="52"/>
  <c r="P255" i="52"/>
  <c r="Q255" i="52"/>
  <c r="S255" i="52"/>
  <c r="Z255" i="52"/>
  <c r="AA255" i="52"/>
  <c r="AC255" i="52"/>
  <c r="L256" i="52"/>
  <c r="M256" i="52"/>
  <c r="P256" i="52"/>
  <c r="Q256" i="52"/>
  <c r="L257" i="52"/>
  <c r="U257" i="52" s="1"/>
  <c r="M257" i="52"/>
  <c r="P257" i="52"/>
  <c r="Q257" i="52"/>
  <c r="S257" i="52"/>
  <c r="Z257" i="52"/>
  <c r="AA257" i="52"/>
  <c r="AC257" i="52"/>
  <c r="L258" i="52"/>
  <c r="M258" i="52"/>
  <c r="P258" i="52"/>
  <c r="Q258" i="52"/>
  <c r="L259" i="52"/>
  <c r="G259" i="52" s="1"/>
  <c r="R259" i="52" s="1"/>
  <c r="M259" i="52"/>
  <c r="P259" i="52"/>
  <c r="Q259" i="52"/>
  <c r="S259" i="52"/>
  <c r="Z259" i="52"/>
  <c r="AA259" i="52"/>
  <c r="AC259" i="52"/>
  <c r="L260" i="52"/>
  <c r="M260" i="52"/>
  <c r="P260" i="52"/>
  <c r="Q260" i="52"/>
  <c r="L261" i="52"/>
  <c r="U261" i="52" s="1"/>
  <c r="M261" i="52"/>
  <c r="P261" i="52"/>
  <c r="Q261" i="52"/>
  <c r="S261" i="52"/>
  <c r="Z261" i="52"/>
  <c r="AA261" i="52"/>
  <c r="AC261" i="52"/>
  <c r="L262" i="52"/>
  <c r="M262" i="52"/>
  <c r="P262" i="52"/>
  <c r="Q262" i="52"/>
  <c r="L263" i="52"/>
  <c r="G263" i="52" s="1"/>
  <c r="R263" i="52" s="1"/>
  <c r="M263" i="52"/>
  <c r="P263" i="52"/>
  <c r="Q263" i="52"/>
  <c r="S263" i="52"/>
  <c r="Z263" i="52"/>
  <c r="AA263" i="52"/>
  <c r="AC263" i="52"/>
  <c r="L264" i="52"/>
  <c r="M264" i="52"/>
  <c r="P264" i="52"/>
  <c r="Q264" i="52"/>
  <c r="L265" i="52"/>
  <c r="G265" i="52" s="1"/>
  <c r="R265" i="52" s="1"/>
  <c r="M265" i="52"/>
  <c r="P265" i="52"/>
  <c r="Q265" i="52"/>
  <c r="S265" i="52"/>
  <c r="Z265" i="52"/>
  <c r="AA265" i="52"/>
  <c r="AC265" i="52"/>
  <c r="L266" i="52"/>
  <c r="M266" i="52"/>
  <c r="P266" i="52"/>
  <c r="Q266" i="52"/>
  <c r="L267" i="52"/>
  <c r="G267" i="52" s="1"/>
  <c r="R267" i="52" s="1"/>
  <c r="M267" i="52"/>
  <c r="P267" i="52"/>
  <c r="Q267" i="52"/>
  <c r="S267" i="52"/>
  <c r="Z267" i="52"/>
  <c r="AA267" i="52"/>
  <c r="AC267" i="52"/>
  <c r="L268" i="52"/>
  <c r="M268" i="52"/>
  <c r="P268" i="52"/>
  <c r="Q268" i="52"/>
  <c r="L269" i="52"/>
  <c r="G269" i="52" s="1"/>
  <c r="R269" i="52" s="1"/>
  <c r="M269" i="52"/>
  <c r="P269" i="52"/>
  <c r="Q269" i="52"/>
  <c r="S269" i="52"/>
  <c r="Z269" i="52"/>
  <c r="AA269" i="52"/>
  <c r="AC269" i="52"/>
  <c r="L270" i="52"/>
  <c r="M270" i="52"/>
  <c r="P270" i="52"/>
  <c r="Q270" i="52"/>
  <c r="L271" i="52"/>
  <c r="G271" i="52" s="1"/>
  <c r="R271" i="52" s="1"/>
  <c r="M271" i="52"/>
  <c r="P271" i="52"/>
  <c r="Q271" i="52"/>
  <c r="S271" i="52"/>
  <c r="Z271" i="52"/>
  <c r="AA271" i="52"/>
  <c r="AC271" i="52"/>
  <c r="L272" i="52"/>
  <c r="M272" i="52"/>
  <c r="P272" i="52"/>
  <c r="Q272" i="52"/>
  <c r="L273" i="52"/>
  <c r="U273" i="52" s="1"/>
  <c r="M273" i="52"/>
  <c r="P273" i="52"/>
  <c r="Q273" i="52"/>
  <c r="S273" i="52"/>
  <c r="Z273" i="52"/>
  <c r="AA273" i="52"/>
  <c r="AC273" i="52"/>
  <c r="L274" i="52"/>
  <c r="M274" i="52"/>
  <c r="P274" i="52"/>
  <c r="Q274" i="52"/>
  <c r="L275" i="52"/>
  <c r="G275" i="52" s="1"/>
  <c r="R275" i="52" s="1"/>
  <c r="M275" i="52"/>
  <c r="P275" i="52"/>
  <c r="Q275" i="52"/>
  <c r="S275" i="52"/>
  <c r="Z275" i="52"/>
  <c r="AA275" i="52"/>
  <c r="AC275" i="52"/>
  <c r="L276" i="52"/>
  <c r="M276" i="52"/>
  <c r="P276" i="52"/>
  <c r="Q276" i="52"/>
  <c r="L277" i="52"/>
  <c r="U277" i="52" s="1"/>
  <c r="M277" i="52"/>
  <c r="P277" i="52"/>
  <c r="Q277" i="52"/>
  <c r="S277" i="52"/>
  <c r="Z277" i="52"/>
  <c r="AA277" i="52"/>
  <c r="AC277" i="52"/>
  <c r="L278" i="52"/>
  <c r="M278" i="52"/>
  <c r="P278" i="52"/>
  <c r="Q278" i="52"/>
  <c r="L279" i="52"/>
  <c r="U279" i="52" s="1"/>
  <c r="M279" i="52"/>
  <c r="P279" i="52"/>
  <c r="Q279" i="52"/>
  <c r="S279" i="52"/>
  <c r="Z279" i="52"/>
  <c r="AA279" i="52"/>
  <c r="AC279" i="52"/>
  <c r="L280" i="52"/>
  <c r="M280" i="52"/>
  <c r="P280" i="52"/>
  <c r="Q280" i="52"/>
  <c r="L281" i="52"/>
  <c r="U281" i="52" s="1"/>
  <c r="M281" i="52"/>
  <c r="P281" i="52"/>
  <c r="Q281" i="52"/>
  <c r="S281" i="52"/>
  <c r="Z281" i="52"/>
  <c r="AA281" i="52"/>
  <c r="AC281" i="52"/>
  <c r="L282" i="52"/>
  <c r="M282" i="52"/>
  <c r="P282" i="52"/>
  <c r="Q282" i="52"/>
  <c r="L283" i="52"/>
  <c r="U283" i="52" s="1"/>
  <c r="M283" i="52"/>
  <c r="P283" i="52"/>
  <c r="Q283" i="52"/>
  <c r="S283" i="52"/>
  <c r="Z283" i="52"/>
  <c r="AA283" i="52"/>
  <c r="AC283" i="52"/>
  <c r="L286" i="52"/>
  <c r="M286" i="52"/>
  <c r="P286" i="52"/>
  <c r="Q286" i="52"/>
  <c r="L287" i="52"/>
  <c r="G287" i="52" s="1"/>
  <c r="R287" i="52" s="1"/>
  <c r="M287" i="52"/>
  <c r="P287" i="52"/>
  <c r="Q287" i="52"/>
  <c r="S287" i="52"/>
  <c r="Z287" i="52"/>
  <c r="AA287" i="52"/>
  <c r="AC287" i="52"/>
  <c r="H10" i="20"/>
  <c r="H20" i="20" s="1"/>
  <c r="H22" i="20" s="1"/>
  <c r="D5" i="20" s="1"/>
  <c r="S34" i="3" s="1"/>
  <c r="V10" i="20"/>
  <c r="M11" i="20"/>
  <c r="N11" i="20"/>
  <c r="S11" i="3"/>
  <c r="T11" i="3"/>
  <c r="U11" i="3"/>
  <c r="AB11" i="3"/>
  <c r="AB79" i="3" s="1"/>
  <c r="AD79" i="3" s="1"/>
  <c r="Y14" i="3"/>
  <c r="V15" i="3"/>
  <c r="V16" i="3"/>
  <c r="V18" i="3"/>
  <c r="V19" i="3"/>
  <c r="Y20" i="3"/>
  <c r="AD20" i="3"/>
  <c r="R26" i="3"/>
  <c r="S26" i="3"/>
  <c r="T26" i="3"/>
  <c r="U26" i="3"/>
  <c r="B32" i="3"/>
  <c r="D28" i="3" s="1"/>
  <c r="O32" i="3"/>
  <c r="Q32" i="3" s="1"/>
  <c r="R32" i="3"/>
  <c r="U32" i="3"/>
  <c r="O33" i="3"/>
  <c r="Q33" i="3" s="1"/>
  <c r="R33" i="3" s="1"/>
  <c r="V33" i="3" s="1"/>
  <c r="O50" i="3" s="1"/>
  <c r="U33" i="3"/>
  <c r="O35" i="3"/>
  <c r="Q35" i="3" s="1"/>
  <c r="R35" i="3"/>
  <c r="V35" i="3" s="1"/>
  <c r="O52" i="3" s="1"/>
  <c r="U35" i="3"/>
  <c r="O36" i="3"/>
  <c r="Q36" i="3" s="1"/>
  <c r="R36" i="3"/>
  <c r="U36" i="3"/>
  <c r="U37" i="3"/>
  <c r="U38" i="3"/>
  <c r="U39" i="3"/>
  <c r="U40" i="3"/>
  <c r="U41" i="3"/>
  <c r="T43" i="3"/>
  <c r="B46" i="3"/>
  <c r="B47" i="3"/>
  <c r="B48" i="3"/>
  <c r="B49" i="3"/>
  <c r="X49" i="3"/>
  <c r="B50" i="3"/>
  <c r="X50" i="3"/>
  <c r="X51" i="3"/>
  <c r="X52" i="3"/>
  <c r="X53" i="3"/>
  <c r="X54" i="3"/>
  <c r="B55" i="3"/>
  <c r="X55" i="3"/>
  <c r="B56" i="3"/>
  <c r="X56" i="3"/>
  <c r="B57" i="3"/>
  <c r="X57" i="3"/>
  <c r="B58" i="3"/>
  <c r="X58" i="3"/>
  <c r="B59" i="3"/>
  <c r="Q60" i="3"/>
  <c r="E62" i="3"/>
  <c r="F62" i="3"/>
  <c r="G62" i="3"/>
  <c r="H62" i="3"/>
  <c r="I62" i="3"/>
  <c r="E68" i="3"/>
  <c r="F68" i="3"/>
  <c r="G68" i="3"/>
  <c r="H68" i="3"/>
  <c r="I68" i="3"/>
  <c r="R72" i="3"/>
  <c r="V78" i="3"/>
  <c r="V79" i="3"/>
  <c r="V80" i="3"/>
  <c r="V81" i="3"/>
  <c r="V82" i="3"/>
  <c r="AB82" i="3"/>
  <c r="Q89" i="3"/>
  <c r="R89" i="3"/>
  <c r="S89" i="3"/>
  <c r="T89" i="3"/>
  <c r="U89" i="3"/>
  <c r="O95" i="3"/>
  <c r="P95" i="3" s="1"/>
  <c r="Q95" i="3"/>
  <c r="R95" i="3" s="1"/>
  <c r="O96" i="3"/>
  <c r="Q96" i="3" s="1"/>
  <c r="R96" i="3" s="1"/>
  <c r="U96" i="3"/>
  <c r="O97" i="3"/>
  <c r="P97" i="3" s="1"/>
  <c r="S97" i="3"/>
  <c r="U97" i="3" s="1"/>
  <c r="O98" i="3"/>
  <c r="P98" i="3" s="1"/>
  <c r="S98" i="3"/>
  <c r="U98" i="3" s="1"/>
  <c r="O99" i="3"/>
  <c r="P99" i="3" s="1"/>
  <c r="T106" i="3"/>
  <c r="AC106" i="3"/>
  <c r="Q123" i="3"/>
  <c r="T130" i="3"/>
  <c r="V134" i="3"/>
  <c r="R135" i="3"/>
  <c r="AD72" i="3"/>
  <c r="S12" i="63"/>
  <c r="T12" i="63"/>
  <c r="U12" i="63"/>
  <c r="Y15" i="63"/>
  <c r="O16" i="63"/>
  <c r="V16" i="63"/>
  <c r="AD17" i="63"/>
  <c r="V19" i="63"/>
  <c r="AD19" i="63"/>
  <c r="V20" i="63"/>
  <c r="AD21" i="63"/>
  <c r="R27" i="63"/>
  <c r="S27" i="63"/>
  <c r="T27" i="63"/>
  <c r="U27" i="63"/>
  <c r="AB27" i="63"/>
  <c r="AC27" i="63"/>
  <c r="D21" i="63"/>
  <c r="O33" i="63"/>
  <c r="P33" i="63"/>
  <c r="R33" i="63" s="1"/>
  <c r="S33" i="63" s="1"/>
  <c r="O36" i="63"/>
  <c r="O37" i="63"/>
  <c r="O38" i="63"/>
  <c r="O39" i="63"/>
  <c r="O40" i="63"/>
  <c r="O41" i="63"/>
  <c r="O42" i="63"/>
  <c r="AC44" i="63"/>
  <c r="B48" i="63"/>
  <c r="B49" i="63"/>
  <c r="B50" i="63"/>
  <c r="O50" i="63"/>
  <c r="P50" i="63" s="1"/>
  <c r="X50" i="63"/>
  <c r="B51" i="63"/>
  <c r="X51" i="63"/>
  <c r="O52" i="63"/>
  <c r="X52" i="63"/>
  <c r="O53" i="63"/>
  <c r="X53" i="63"/>
  <c r="O54" i="63"/>
  <c r="X54" i="63"/>
  <c r="X55" i="63"/>
  <c r="D29" i="63"/>
  <c r="G56" i="63"/>
  <c r="X56" i="63"/>
  <c r="B57" i="63"/>
  <c r="G57" i="63"/>
  <c r="X57" i="63"/>
  <c r="B58" i="63"/>
  <c r="X58" i="63"/>
  <c r="B59" i="63"/>
  <c r="X59" i="63"/>
  <c r="B60" i="63"/>
  <c r="G60" i="63"/>
  <c r="E63" i="63"/>
  <c r="F63" i="63"/>
  <c r="G63" i="63"/>
  <c r="H63" i="63"/>
  <c r="I63" i="63"/>
  <c r="E69" i="63"/>
  <c r="F69" i="63"/>
  <c r="G69" i="63"/>
  <c r="H69" i="63"/>
  <c r="I69" i="63"/>
  <c r="V79" i="63"/>
  <c r="V80" i="63"/>
  <c r="AD80" i="63"/>
  <c r="V81" i="63"/>
  <c r="V82" i="63"/>
  <c r="AD82" i="63"/>
  <c r="V83" i="63"/>
  <c r="Q90" i="63"/>
  <c r="R90" i="63"/>
  <c r="S90" i="63"/>
  <c r="T90" i="63"/>
  <c r="U90" i="63"/>
  <c r="AB90" i="63"/>
  <c r="AC90" i="63"/>
  <c r="O98" i="63"/>
  <c r="P98" i="63" s="1"/>
  <c r="O99" i="63"/>
  <c r="U99" i="63"/>
  <c r="O100" i="63"/>
  <c r="U100" i="63"/>
  <c r="O101" i="63"/>
  <c r="Q101" i="63" s="1"/>
  <c r="R101" i="63" s="1"/>
  <c r="U101" i="63"/>
  <c r="O102" i="63"/>
  <c r="Q102" i="63" s="1"/>
  <c r="R102" i="63" s="1"/>
  <c r="S109" i="63"/>
  <c r="T109" i="63"/>
  <c r="AG109" i="63"/>
  <c r="R124" i="63"/>
  <c r="R125" i="63"/>
  <c r="R126" i="63"/>
  <c r="Q139" i="63"/>
  <c r="AC139" i="63"/>
  <c r="T146" i="63"/>
  <c r="V150" i="63"/>
  <c r="R151" i="63"/>
  <c r="AC6" i="50"/>
  <c r="AC7" i="50"/>
  <c r="A8" i="50"/>
  <c r="AB8" i="50"/>
  <c r="Y10" i="50" s="1"/>
  <c r="AC8" i="50"/>
  <c r="L12" i="50"/>
  <c r="G12" i="50" s="1"/>
  <c r="R12" i="50" s="1"/>
  <c r="M12" i="50"/>
  <c r="P12" i="50"/>
  <c r="Q12" i="50"/>
  <c r="L13" i="50"/>
  <c r="M13" i="50"/>
  <c r="P13" i="50"/>
  <c r="Q13" i="50"/>
  <c r="S13" i="50"/>
  <c r="Y13" i="50"/>
  <c r="L14" i="50"/>
  <c r="G14" i="50" s="1"/>
  <c r="R14" i="50" s="1"/>
  <c r="M14" i="50"/>
  <c r="P14" i="50"/>
  <c r="Q14" i="50"/>
  <c r="L15" i="50"/>
  <c r="M15" i="50"/>
  <c r="P15" i="50"/>
  <c r="Q15" i="50"/>
  <c r="S15" i="50"/>
  <c r="Y15" i="50"/>
  <c r="Z15" i="50"/>
  <c r="AB15" i="50"/>
  <c r="L16" i="50"/>
  <c r="G16" i="50" s="1"/>
  <c r="R16" i="50" s="1"/>
  <c r="M16" i="50"/>
  <c r="P16" i="50"/>
  <c r="Q16" i="50"/>
  <c r="L17" i="50"/>
  <c r="M17" i="50"/>
  <c r="P17" i="50"/>
  <c r="Q17" i="50"/>
  <c r="S17" i="50"/>
  <c r="Y17" i="50"/>
  <c r="Z17" i="50"/>
  <c r="AB17" i="50"/>
  <c r="L18" i="50"/>
  <c r="G18" i="50" s="1"/>
  <c r="R18" i="50" s="1"/>
  <c r="M18" i="50"/>
  <c r="P18" i="50"/>
  <c r="Q18" i="50"/>
  <c r="L19" i="50"/>
  <c r="M19" i="50"/>
  <c r="P19" i="50"/>
  <c r="Q19" i="50"/>
  <c r="S19" i="50"/>
  <c r="Y19" i="50"/>
  <c r="Z19" i="50"/>
  <c r="AB19" i="50"/>
  <c r="L20" i="50"/>
  <c r="G20" i="50" s="1"/>
  <c r="R20" i="50" s="1"/>
  <c r="M20" i="50"/>
  <c r="P20" i="50"/>
  <c r="Q20" i="50"/>
  <c r="L21" i="50"/>
  <c r="M21" i="50"/>
  <c r="P21" i="50"/>
  <c r="Q21" i="50"/>
  <c r="S21" i="50"/>
  <c r="Y21" i="50"/>
  <c r="Z21" i="50"/>
  <c r="AB21" i="50"/>
  <c r="L22" i="50"/>
  <c r="G22" i="50" s="1"/>
  <c r="R22" i="50" s="1"/>
  <c r="M22" i="50"/>
  <c r="P22" i="50"/>
  <c r="Q22" i="50"/>
  <c r="L23" i="50"/>
  <c r="M23" i="50"/>
  <c r="P23" i="50"/>
  <c r="Q23" i="50"/>
  <c r="S23" i="50"/>
  <c r="Y23" i="50"/>
  <c r="Z23" i="50"/>
  <c r="AB23" i="50"/>
  <c r="L24" i="50"/>
  <c r="G24" i="50" s="1"/>
  <c r="R24" i="50" s="1"/>
  <c r="M24" i="50"/>
  <c r="P24" i="50"/>
  <c r="Q24" i="50"/>
  <c r="L25" i="50"/>
  <c r="M25" i="50"/>
  <c r="P25" i="50"/>
  <c r="Q25" i="50"/>
  <c r="S25" i="50"/>
  <c r="Y25" i="50"/>
  <c r="Z25" i="50"/>
  <c r="AB25" i="50"/>
  <c r="L26" i="50"/>
  <c r="G26" i="50" s="1"/>
  <c r="R26" i="50" s="1"/>
  <c r="M26" i="50"/>
  <c r="P26" i="50"/>
  <c r="Q26" i="50"/>
  <c r="L27" i="50"/>
  <c r="M27" i="50"/>
  <c r="P27" i="50"/>
  <c r="Q27" i="50"/>
  <c r="S27" i="50"/>
  <c r="Y27" i="50"/>
  <c r="Z27" i="50"/>
  <c r="AB27" i="50"/>
  <c r="L28" i="50"/>
  <c r="G28" i="50" s="1"/>
  <c r="R28" i="50" s="1"/>
  <c r="M28" i="50"/>
  <c r="P28" i="50"/>
  <c r="Q28" i="50"/>
  <c r="W28" i="50"/>
  <c r="L29" i="50"/>
  <c r="M29" i="50"/>
  <c r="P29" i="50"/>
  <c r="Q29" i="50"/>
  <c r="S29" i="50"/>
  <c r="W29" i="50"/>
  <c r="Y29" i="50"/>
  <c r="Z29" i="50"/>
  <c r="AB29" i="50"/>
  <c r="L30" i="50"/>
  <c r="G30" i="50" s="1"/>
  <c r="R30" i="50" s="1"/>
  <c r="M30" i="50"/>
  <c r="P30" i="50"/>
  <c r="Q30" i="50"/>
  <c r="L31" i="50"/>
  <c r="M31" i="50"/>
  <c r="P31" i="50"/>
  <c r="Q31" i="50"/>
  <c r="S31" i="50"/>
  <c r="Y31" i="50"/>
  <c r="Z31" i="50"/>
  <c r="AB31" i="50"/>
  <c r="L32" i="50"/>
  <c r="G32" i="50" s="1"/>
  <c r="R32" i="50" s="1"/>
  <c r="M32" i="50"/>
  <c r="P32" i="50"/>
  <c r="Q32" i="50"/>
  <c r="L33" i="50"/>
  <c r="M33" i="50"/>
  <c r="P33" i="50"/>
  <c r="Q33" i="50"/>
  <c r="S33" i="50"/>
  <c r="Y33" i="50"/>
  <c r="Z33" i="50"/>
  <c r="AB33" i="50"/>
  <c r="L34" i="50"/>
  <c r="G34" i="50" s="1"/>
  <c r="R34" i="50" s="1"/>
  <c r="M34" i="50"/>
  <c r="P34" i="50"/>
  <c r="Q34" i="50"/>
  <c r="L35" i="50"/>
  <c r="M35" i="50"/>
  <c r="P35" i="50"/>
  <c r="Q35" i="50"/>
  <c r="S35" i="50"/>
  <c r="Y35" i="50"/>
  <c r="Z35" i="50"/>
  <c r="AB35" i="50"/>
  <c r="L36" i="50"/>
  <c r="G36" i="50" s="1"/>
  <c r="R36" i="50" s="1"/>
  <c r="M36" i="50"/>
  <c r="P36" i="50"/>
  <c r="Q36" i="50"/>
  <c r="L37" i="50"/>
  <c r="G37" i="50" s="1"/>
  <c r="R37" i="50" s="1"/>
  <c r="M37" i="50"/>
  <c r="P37" i="50"/>
  <c r="Q37" i="50"/>
  <c r="S37" i="50"/>
  <c r="Y37" i="50"/>
  <c r="Z37" i="50"/>
  <c r="AB37" i="50"/>
  <c r="L38" i="50"/>
  <c r="G38" i="50" s="1"/>
  <c r="R38" i="50" s="1"/>
  <c r="M38" i="50"/>
  <c r="P38" i="50"/>
  <c r="Q38" i="50"/>
  <c r="L39" i="50"/>
  <c r="U39" i="50" s="1"/>
  <c r="M39" i="50"/>
  <c r="P39" i="50"/>
  <c r="Q39" i="50"/>
  <c r="S39" i="50"/>
  <c r="Y39" i="50"/>
  <c r="Z39" i="50"/>
  <c r="AB39" i="50"/>
  <c r="L40" i="50"/>
  <c r="M40" i="50"/>
  <c r="P40" i="50"/>
  <c r="Q40" i="50"/>
  <c r="L41" i="50"/>
  <c r="U41" i="50" s="1"/>
  <c r="M41" i="50"/>
  <c r="P41" i="50"/>
  <c r="Q41" i="50"/>
  <c r="S41" i="50"/>
  <c r="Y41" i="50"/>
  <c r="Z41" i="50"/>
  <c r="AB41" i="50"/>
  <c r="L42" i="50"/>
  <c r="G42" i="50" s="1"/>
  <c r="R42" i="50" s="1"/>
  <c r="M42" i="50"/>
  <c r="P42" i="50"/>
  <c r="Q42" i="50"/>
  <c r="L43" i="50"/>
  <c r="M43" i="50"/>
  <c r="P43" i="50"/>
  <c r="Q43" i="50"/>
  <c r="S43" i="50"/>
  <c r="Y43" i="50"/>
  <c r="Z43" i="50"/>
  <c r="AB43" i="50"/>
  <c r="L44" i="50"/>
  <c r="G44" i="50" s="1"/>
  <c r="R44" i="50" s="1"/>
  <c r="M44" i="50"/>
  <c r="P44" i="50"/>
  <c r="Q44" i="50"/>
  <c r="L45" i="50"/>
  <c r="G45" i="50" s="1"/>
  <c r="R45" i="50" s="1"/>
  <c r="M45" i="50"/>
  <c r="P45" i="50"/>
  <c r="Q45" i="50"/>
  <c r="S45" i="50"/>
  <c r="Y45" i="50"/>
  <c r="Z45" i="50"/>
  <c r="AB45" i="50"/>
  <c r="L46" i="50"/>
  <c r="G46" i="50" s="1"/>
  <c r="R46" i="50" s="1"/>
  <c r="M46" i="50"/>
  <c r="P46" i="50"/>
  <c r="Q46" i="50"/>
  <c r="L47" i="50"/>
  <c r="G47" i="50" s="1"/>
  <c r="R47" i="50" s="1"/>
  <c r="M47" i="50"/>
  <c r="P47" i="50"/>
  <c r="Q47" i="50"/>
  <c r="S47" i="50"/>
  <c r="Y47" i="50"/>
  <c r="Z47" i="50"/>
  <c r="AB47" i="50"/>
  <c r="L48" i="50"/>
  <c r="G48" i="50" s="1"/>
  <c r="R48" i="50" s="1"/>
  <c r="M48" i="50"/>
  <c r="P48" i="50"/>
  <c r="Q48" i="50"/>
  <c r="L49" i="50"/>
  <c r="G49" i="50" s="1"/>
  <c r="R49" i="50" s="1"/>
  <c r="M49" i="50"/>
  <c r="P49" i="50"/>
  <c r="Q49" i="50"/>
  <c r="S49" i="50"/>
  <c r="Y49" i="50"/>
  <c r="Z49" i="50"/>
  <c r="AB49" i="50"/>
  <c r="L50" i="50"/>
  <c r="G50" i="50" s="1"/>
  <c r="R50" i="50" s="1"/>
  <c r="M50" i="50"/>
  <c r="P50" i="50"/>
  <c r="Q50" i="50"/>
  <c r="L51" i="50"/>
  <c r="G51" i="50" s="1"/>
  <c r="R51" i="50" s="1"/>
  <c r="M51" i="50"/>
  <c r="P51" i="50"/>
  <c r="Q51" i="50"/>
  <c r="S51" i="50"/>
  <c r="Y51" i="50"/>
  <c r="Z51" i="50"/>
  <c r="AB51" i="50"/>
  <c r="L52" i="50"/>
  <c r="G52" i="50" s="1"/>
  <c r="R52" i="50" s="1"/>
  <c r="M52" i="50"/>
  <c r="P52" i="50"/>
  <c r="Q52" i="50"/>
  <c r="L53" i="50"/>
  <c r="G53" i="50" s="1"/>
  <c r="R53" i="50" s="1"/>
  <c r="M53" i="50"/>
  <c r="P53" i="50"/>
  <c r="Q53" i="50"/>
  <c r="S53" i="50"/>
  <c r="Y53" i="50"/>
  <c r="Z53" i="50"/>
  <c r="AB53" i="50"/>
  <c r="L54" i="50"/>
  <c r="G54" i="50" s="1"/>
  <c r="R54" i="50" s="1"/>
  <c r="M54" i="50"/>
  <c r="P54" i="50"/>
  <c r="Q54" i="50"/>
  <c r="L55" i="50"/>
  <c r="M55" i="50"/>
  <c r="P55" i="50"/>
  <c r="Q55" i="50"/>
  <c r="S55" i="50"/>
  <c r="Y55" i="50"/>
  <c r="Z55" i="50"/>
  <c r="AB55" i="50"/>
  <c r="L56" i="50"/>
  <c r="G56" i="50" s="1"/>
  <c r="R56" i="50" s="1"/>
  <c r="M56" i="50"/>
  <c r="P56" i="50"/>
  <c r="Q56" i="50"/>
  <c r="L57" i="50"/>
  <c r="M57" i="50"/>
  <c r="P57" i="50"/>
  <c r="Q57" i="50"/>
  <c r="S57" i="50"/>
  <c r="Y57" i="50"/>
  <c r="Z57" i="50"/>
  <c r="AB57" i="50"/>
  <c r="L58" i="50"/>
  <c r="G58" i="50" s="1"/>
  <c r="R58" i="50" s="1"/>
  <c r="M58" i="50"/>
  <c r="P58" i="50"/>
  <c r="Q58" i="50"/>
  <c r="L59" i="50"/>
  <c r="U59" i="50" s="1"/>
  <c r="M59" i="50"/>
  <c r="P59" i="50"/>
  <c r="Q59" i="50"/>
  <c r="S59" i="50"/>
  <c r="Y59" i="50"/>
  <c r="Z59" i="50"/>
  <c r="AB59" i="50"/>
  <c r="L60" i="50"/>
  <c r="G60" i="50" s="1"/>
  <c r="R60" i="50" s="1"/>
  <c r="M60" i="50"/>
  <c r="P60" i="50"/>
  <c r="Q60" i="50"/>
  <c r="L61" i="50"/>
  <c r="G61" i="50" s="1"/>
  <c r="R61" i="50" s="1"/>
  <c r="M61" i="50"/>
  <c r="P61" i="50"/>
  <c r="Q61" i="50"/>
  <c r="S61" i="50"/>
  <c r="Y61" i="50"/>
  <c r="Z61" i="50"/>
  <c r="AB61" i="50"/>
  <c r="L62" i="50"/>
  <c r="G62" i="50" s="1"/>
  <c r="R62" i="50" s="1"/>
  <c r="M62" i="50"/>
  <c r="P62" i="50"/>
  <c r="Q62" i="50"/>
  <c r="L63" i="50"/>
  <c r="G63" i="50" s="1"/>
  <c r="R63" i="50" s="1"/>
  <c r="M63" i="50"/>
  <c r="P63" i="50"/>
  <c r="Q63" i="50"/>
  <c r="S63" i="50"/>
  <c r="Y63" i="50"/>
  <c r="Z63" i="50"/>
  <c r="AB63" i="50"/>
  <c r="L64" i="50"/>
  <c r="G64" i="50" s="1"/>
  <c r="R64" i="50" s="1"/>
  <c r="M64" i="50"/>
  <c r="P64" i="50"/>
  <c r="Q64" i="50"/>
  <c r="L65" i="50"/>
  <c r="U65" i="50" s="1"/>
  <c r="M65" i="50"/>
  <c r="P65" i="50"/>
  <c r="Q65" i="50"/>
  <c r="S65" i="50"/>
  <c r="Y65" i="50"/>
  <c r="Z65" i="50"/>
  <c r="AB65" i="50"/>
  <c r="L66" i="50"/>
  <c r="G66" i="50" s="1"/>
  <c r="R66" i="50" s="1"/>
  <c r="M66" i="50"/>
  <c r="P66" i="50"/>
  <c r="Q66" i="50"/>
  <c r="L67" i="50"/>
  <c r="U67" i="50" s="1"/>
  <c r="M67" i="50"/>
  <c r="P67" i="50"/>
  <c r="Q67" i="50"/>
  <c r="S67" i="50"/>
  <c r="Y67" i="50"/>
  <c r="Z67" i="50"/>
  <c r="AB67" i="50"/>
  <c r="L68" i="50"/>
  <c r="G68" i="50" s="1"/>
  <c r="R68" i="50" s="1"/>
  <c r="M68" i="50"/>
  <c r="P68" i="50"/>
  <c r="Q68" i="50"/>
  <c r="L69" i="50"/>
  <c r="G69" i="50" s="1"/>
  <c r="R69" i="50" s="1"/>
  <c r="M69" i="50"/>
  <c r="P69" i="50"/>
  <c r="Q69" i="50"/>
  <c r="S69" i="50"/>
  <c r="Y69" i="50"/>
  <c r="L70" i="50"/>
  <c r="G70" i="50" s="1"/>
  <c r="R70" i="50" s="1"/>
  <c r="M70" i="50"/>
  <c r="P70" i="50"/>
  <c r="Q70" i="50"/>
  <c r="L71" i="50"/>
  <c r="G71" i="50" s="1"/>
  <c r="R71" i="50" s="1"/>
  <c r="M71" i="50"/>
  <c r="P71" i="50"/>
  <c r="Q71" i="50"/>
  <c r="S71" i="50"/>
  <c r="Y71" i="50"/>
  <c r="L72" i="50"/>
  <c r="G72" i="50" s="1"/>
  <c r="R72" i="50" s="1"/>
  <c r="M72" i="50"/>
  <c r="P72" i="50"/>
  <c r="Q72" i="50"/>
  <c r="L73" i="50"/>
  <c r="M73" i="50"/>
  <c r="P73" i="50"/>
  <c r="Q73" i="50"/>
  <c r="S73" i="50"/>
  <c r="Y73" i="50"/>
  <c r="Z73" i="50"/>
  <c r="AB73" i="50"/>
  <c r="A1" i="2"/>
  <c r="A1" i="1"/>
  <c r="O4" i="1"/>
  <c r="O5" i="1"/>
  <c r="S9" i="1"/>
  <c r="S10" i="1"/>
  <c r="P10" i="1" s="1"/>
  <c r="I11" i="1"/>
  <c r="S11" i="1"/>
  <c r="I12" i="1"/>
  <c r="S12" i="1"/>
  <c r="P12" i="1" s="1"/>
  <c r="AA20" i="1"/>
  <c r="AB20" i="1"/>
  <c r="S23" i="1"/>
  <c r="S24" i="1"/>
  <c r="O28" i="1"/>
  <c r="G18" i="22"/>
  <c r="Z23" i="56"/>
  <c r="W74" i="56"/>
  <c r="I74" i="56"/>
  <c r="I8" i="56"/>
  <c r="W67" i="52"/>
  <c r="Q44" i="63"/>
  <c r="U67" i="63"/>
  <c r="Q99" i="3"/>
  <c r="Q97" i="3"/>
  <c r="R97" i="3" s="1"/>
  <c r="AC79" i="3"/>
  <c r="AC89" i="3" s="1"/>
  <c r="R149" i="63"/>
  <c r="AD71" i="63" s="1"/>
  <c r="E19" i="3"/>
  <c r="J22" i="3"/>
  <c r="K27" i="3"/>
  <c r="D26" i="3"/>
  <c r="D27" i="3"/>
  <c r="E22" i="3"/>
  <c r="AC16" i="3"/>
  <c r="AC26" i="3" s="1"/>
  <c r="E21" i="3"/>
  <c r="E20" i="3"/>
  <c r="L129" i="52"/>
  <c r="Y85" i="52"/>
  <c r="Y27" i="52"/>
  <c r="Z27" i="52" s="1"/>
  <c r="W37" i="55"/>
  <c r="W15" i="59"/>
  <c r="AA19" i="62"/>
  <c r="Z23" i="62"/>
  <c r="W23" i="62"/>
  <c r="I74" i="62"/>
  <c r="B8" i="61"/>
  <c r="I8" i="61" s="1"/>
  <c r="W8" i="61" s="1"/>
  <c r="I74" i="61"/>
  <c r="W74" i="61" s="1"/>
  <c r="W27" i="58"/>
  <c r="Z10" i="61"/>
  <c r="W49" i="58"/>
  <c r="W39" i="58"/>
  <c r="Z10" i="58"/>
  <c r="Y21" i="61"/>
  <c r="W21" i="61" s="1"/>
  <c r="Z21" i="61"/>
  <c r="AA27" i="61" s="1"/>
  <c r="R99" i="3"/>
  <c r="V99" i="3" s="1"/>
  <c r="O116" i="3" s="1"/>
  <c r="Z85" i="52"/>
  <c r="W85" i="52"/>
  <c r="G45" i="61"/>
  <c r="R45" i="61" s="1"/>
  <c r="G59" i="52"/>
  <c r="R59" i="52" s="1"/>
  <c r="G15" i="61"/>
  <c r="R15" i="61" s="1"/>
  <c r="E20" i="63"/>
  <c r="R69" i="63"/>
  <c r="AD147" i="63" s="1"/>
  <c r="R147" i="63"/>
  <c r="AD69" i="63" s="1"/>
  <c r="K22" i="3"/>
  <c r="A74" i="52"/>
  <c r="G58" i="52"/>
  <c r="R58" i="52" s="1"/>
  <c r="Z10" i="59"/>
  <c r="Y17" i="55"/>
  <c r="Z17" i="55" s="1"/>
  <c r="W74" i="62"/>
  <c r="AD145" i="63"/>
  <c r="B8" i="52"/>
  <c r="B8" i="50"/>
  <c r="B8" i="53"/>
  <c r="B8" i="59"/>
  <c r="Z6" i="50"/>
  <c r="W87" i="53" l="1"/>
  <c r="Z87" i="53"/>
  <c r="AB81" i="3"/>
  <c r="AD81" i="3" s="1"/>
  <c r="P96" i="3"/>
  <c r="V89" i="3"/>
  <c r="G212" i="52"/>
  <c r="R212" i="52" s="1"/>
  <c r="G204" i="52"/>
  <c r="R204" i="52" s="1"/>
  <c r="G200" i="52"/>
  <c r="R200" i="52" s="1"/>
  <c r="G196" i="52"/>
  <c r="R196" i="52" s="1"/>
  <c r="G190" i="52"/>
  <c r="R190" i="52" s="1"/>
  <c r="G188" i="52"/>
  <c r="R188" i="52" s="1"/>
  <c r="G184" i="52"/>
  <c r="R184" i="52" s="1"/>
  <c r="G182" i="52"/>
  <c r="R182" i="52" s="1"/>
  <c r="G178" i="52"/>
  <c r="R178" i="52" s="1"/>
  <c r="G176" i="52"/>
  <c r="R176" i="52" s="1"/>
  <c r="W78" i="52"/>
  <c r="G78" i="52"/>
  <c r="R78" i="52" s="1"/>
  <c r="Y57" i="52"/>
  <c r="W57" i="52" s="1"/>
  <c r="G51" i="52"/>
  <c r="R51" i="52" s="1"/>
  <c r="G50" i="52"/>
  <c r="R50" i="52" s="1"/>
  <c r="G39" i="52"/>
  <c r="R39" i="52" s="1"/>
  <c r="G38" i="52"/>
  <c r="R38" i="52" s="1"/>
  <c r="W17" i="55"/>
  <c r="J29" i="3"/>
  <c r="R131" i="3" s="1"/>
  <c r="Z10" i="52"/>
  <c r="U129" i="52"/>
  <c r="AC33" i="3"/>
  <c r="AC43" i="3" s="1"/>
  <c r="J20" i="3"/>
  <c r="S28" i="1"/>
  <c r="G25" i="50"/>
  <c r="R25" i="50" s="1"/>
  <c r="G23" i="50"/>
  <c r="R23" i="50" s="1"/>
  <c r="G19" i="50"/>
  <c r="R19" i="50" s="1"/>
  <c r="G142" i="52"/>
  <c r="R142" i="52" s="1"/>
  <c r="G128" i="52"/>
  <c r="R128" i="52" s="1"/>
  <c r="G127" i="52"/>
  <c r="R127" i="52" s="1"/>
  <c r="G126" i="52"/>
  <c r="R126" i="52" s="1"/>
  <c r="G125" i="52"/>
  <c r="R125" i="52" s="1"/>
  <c r="G124" i="52"/>
  <c r="R124" i="52" s="1"/>
  <c r="G106" i="52"/>
  <c r="R106" i="52" s="1"/>
  <c r="G104" i="52"/>
  <c r="R104" i="52" s="1"/>
  <c r="G103" i="52"/>
  <c r="R103" i="52" s="1"/>
  <c r="G102" i="52"/>
  <c r="R102" i="52" s="1"/>
  <c r="G101" i="52"/>
  <c r="R101" i="52" s="1"/>
  <c r="G100" i="52"/>
  <c r="R100" i="52" s="1"/>
  <c r="G98" i="52"/>
  <c r="R98" i="52" s="1"/>
  <c r="G96" i="52"/>
  <c r="R96" i="52" s="1"/>
  <c r="U95" i="52"/>
  <c r="AB95" i="52" s="1"/>
  <c r="U94" i="52" s="1"/>
  <c r="G94" i="52"/>
  <c r="R94" i="52" s="1"/>
  <c r="G92" i="52"/>
  <c r="R92" i="52" s="1"/>
  <c r="U91" i="52"/>
  <c r="G90" i="52"/>
  <c r="R90" i="52" s="1"/>
  <c r="W82" i="52"/>
  <c r="G82" i="52"/>
  <c r="R82" i="52" s="1"/>
  <c r="Z27" i="58"/>
  <c r="P100" i="63"/>
  <c r="Q100" i="63"/>
  <c r="R100" i="63" s="1"/>
  <c r="V36" i="3"/>
  <c r="O53" i="3" s="1"/>
  <c r="V32" i="3"/>
  <c r="O49" i="3" s="1"/>
  <c r="G208" i="52"/>
  <c r="R208" i="52" s="1"/>
  <c r="G206" i="52"/>
  <c r="R206" i="52" s="1"/>
  <c r="G202" i="52"/>
  <c r="R202" i="52" s="1"/>
  <c r="G198" i="52"/>
  <c r="R198" i="52" s="1"/>
  <c r="G194" i="52"/>
  <c r="R194" i="52" s="1"/>
  <c r="G192" i="52"/>
  <c r="R192" i="52" s="1"/>
  <c r="G186" i="52"/>
  <c r="R186" i="52" s="1"/>
  <c r="G180" i="52"/>
  <c r="R180" i="52" s="1"/>
  <c r="AB16" i="3"/>
  <c r="AB18" i="3"/>
  <c r="AD18" i="3" s="1"/>
  <c r="AC113" i="3"/>
  <c r="AC123" i="3" s="1"/>
  <c r="S27" i="1"/>
  <c r="S31" i="1" s="1"/>
  <c r="G286" i="52"/>
  <c r="R286" i="52" s="1"/>
  <c r="G282" i="52"/>
  <c r="R282" i="52" s="1"/>
  <c r="G280" i="52"/>
  <c r="R280" i="52" s="1"/>
  <c r="G276" i="52"/>
  <c r="R276" i="52" s="1"/>
  <c r="G274" i="52"/>
  <c r="R274" i="52" s="1"/>
  <c r="G272" i="52"/>
  <c r="R272" i="52" s="1"/>
  <c r="G270" i="52"/>
  <c r="R270" i="52" s="1"/>
  <c r="G268" i="52"/>
  <c r="R268" i="52" s="1"/>
  <c r="G266" i="52"/>
  <c r="R266" i="52" s="1"/>
  <c r="G264" i="52"/>
  <c r="R264" i="52" s="1"/>
  <c r="G262" i="52"/>
  <c r="R262" i="52" s="1"/>
  <c r="G260" i="52"/>
  <c r="R260" i="52" s="1"/>
  <c r="G258" i="52"/>
  <c r="R258" i="52" s="1"/>
  <c r="G256" i="52"/>
  <c r="R256" i="52" s="1"/>
  <c r="G254" i="52"/>
  <c r="R254" i="52" s="1"/>
  <c r="G252" i="52"/>
  <c r="R252" i="52" s="1"/>
  <c r="G250" i="52"/>
  <c r="R250" i="52" s="1"/>
  <c r="G248" i="52"/>
  <c r="R248" i="52" s="1"/>
  <c r="G246" i="52"/>
  <c r="R246" i="52" s="1"/>
  <c r="G242" i="52"/>
  <c r="R242" i="52" s="1"/>
  <c r="G240" i="52"/>
  <c r="R240" i="52" s="1"/>
  <c r="G238" i="52"/>
  <c r="R238" i="52" s="1"/>
  <c r="G236" i="52"/>
  <c r="R236" i="52" s="1"/>
  <c r="G234" i="52"/>
  <c r="R234" i="52" s="1"/>
  <c r="G232" i="52"/>
  <c r="R232" i="52" s="1"/>
  <c r="G230" i="52"/>
  <c r="R230" i="52" s="1"/>
  <c r="G168" i="52"/>
  <c r="R168" i="52" s="1"/>
  <c r="G166" i="52"/>
  <c r="R166" i="52" s="1"/>
  <c r="G164" i="52"/>
  <c r="R164" i="52" s="1"/>
  <c r="G162" i="52"/>
  <c r="R162" i="52" s="1"/>
  <c r="G140" i="52"/>
  <c r="R140" i="52" s="1"/>
  <c r="G138" i="52"/>
  <c r="R138" i="52" s="1"/>
  <c r="G136" i="52"/>
  <c r="R136" i="52" s="1"/>
  <c r="G134" i="52"/>
  <c r="R134" i="52" s="1"/>
  <c r="W8" i="62"/>
  <c r="W80" i="52"/>
  <c r="W172" i="52"/>
  <c r="W130" i="52"/>
  <c r="W174" i="52"/>
  <c r="W23" i="56"/>
  <c r="Z37" i="55"/>
  <c r="U37" i="55" s="1"/>
  <c r="AB37" i="55" s="1"/>
  <c r="W36" i="55" s="1"/>
  <c r="G95" i="55"/>
  <c r="R95" i="55" s="1"/>
  <c r="G93" i="55"/>
  <c r="R93" i="55" s="1"/>
  <c r="G87" i="55"/>
  <c r="R87" i="55" s="1"/>
  <c r="G81" i="55"/>
  <c r="R81" i="55" s="1"/>
  <c r="G37" i="55"/>
  <c r="R37" i="55" s="1"/>
  <c r="G27" i="62"/>
  <c r="R27" i="62" s="1"/>
  <c r="Y35" i="61"/>
  <c r="U122" i="58"/>
  <c r="U120" i="58"/>
  <c r="U104" i="58"/>
  <c r="G27" i="58"/>
  <c r="R27" i="58" s="1"/>
  <c r="G71" i="52"/>
  <c r="R71" i="52" s="1"/>
  <c r="G174" i="52"/>
  <c r="R174" i="52" s="1"/>
  <c r="G130" i="52"/>
  <c r="R130" i="52" s="1"/>
  <c r="G48" i="52"/>
  <c r="R48" i="52" s="1"/>
  <c r="G46" i="52"/>
  <c r="R46" i="52" s="1"/>
  <c r="G44" i="52"/>
  <c r="R44" i="52" s="1"/>
  <c r="G36" i="52"/>
  <c r="R36" i="52" s="1"/>
  <c r="G30" i="52"/>
  <c r="R30" i="52" s="1"/>
  <c r="G28" i="52"/>
  <c r="R28" i="52" s="1"/>
  <c r="G26" i="52"/>
  <c r="R26" i="52" s="1"/>
  <c r="G24" i="52"/>
  <c r="R24" i="52" s="1"/>
  <c r="G22" i="52"/>
  <c r="R22" i="52" s="1"/>
  <c r="G20" i="52"/>
  <c r="R20" i="52" s="1"/>
  <c r="G18" i="52"/>
  <c r="R18" i="52" s="1"/>
  <c r="G16" i="52"/>
  <c r="R16" i="52" s="1"/>
  <c r="G14" i="52"/>
  <c r="R14" i="52" s="1"/>
  <c r="G12" i="52"/>
  <c r="R12" i="52" s="1"/>
  <c r="G57" i="53"/>
  <c r="R57" i="53" s="1"/>
  <c r="Y41" i="53"/>
  <c r="G21" i="56"/>
  <c r="R21" i="56" s="1"/>
  <c r="G20" i="56"/>
  <c r="R20" i="56" s="1"/>
  <c r="G29" i="55"/>
  <c r="R29" i="55" s="1"/>
  <c r="Y31" i="55"/>
  <c r="G41" i="62"/>
  <c r="R41" i="62" s="1"/>
  <c r="G39" i="62"/>
  <c r="R39" i="62" s="1"/>
  <c r="G37" i="62"/>
  <c r="R37" i="62" s="1"/>
  <c r="G35" i="62"/>
  <c r="R35" i="62" s="1"/>
  <c r="G33" i="62"/>
  <c r="R33" i="62" s="1"/>
  <c r="G35" i="61"/>
  <c r="R35" i="61" s="1"/>
  <c r="G57" i="52"/>
  <c r="R57" i="52" s="1"/>
  <c r="G61" i="52"/>
  <c r="R61" i="52" s="1"/>
  <c r="G228" i="52"/>
  <c r="R228" i="52" s="1"/>
  <c r="G226" i="52"/>
  <c r="R226" i="52" s="1"/>
  <c r="G224" i="52"/>
  <c r="R224" i="52" s="1"/>
  <c r="G222" i="52"/>
  <c r="R222" i="52" s="1"/>
  <c r="G220" i="52"/>
  <c r="R220" i="52" s="1"/>
  <c r="G218" i="52"/>
  <c r="R218" i="52" s="1"/>
  <c r="G210" i="52"/>
  <c r="R210" i="52" s="1"/>
  <c r="G172" i="52"/>
  <c r="R172" i="52" s="1"/>
  <c r="G170" i="52"/>
  <c r="R170" i="52" s="1"/>
  <c r="G160" i="52"/>
  <c r="R160" i="52" s="1"/>
  <c r="G158" i="52"/>
  <c r="R158" i="52" s="1"/>
  <c r="G156" i="52"/>
  <c r="R156" i="52" s="1"/>
  <c r="G152" i="52"/>
  <c r="R152" i="52" s="1"/>
  <c r="G150" i="52"/>
  <c r="R150" i="52" s="1"/>
  <c r="G148" i="52"/>
  <c r="R148" i="52" s="1"/>
  <c r="G122" i="52"/>
  <c r="R122" i="52" s="1"/>
  <c r="G120" i="52"/>
  <c r="R120" i="52" s="1"/>
  <c r="G118" i="52"/>
  <c r="R118" i="52" s="1"/>
  <c r="G116" i="52"/>
  <c r="R116" i="52" s="1"/>
  <c r="G114" i="52"/>
  <c r="R114" i="52" s="1"/>
  <c r="G112" i="52"/>
  <c r="R112" i="52" s="1"/>
  <c r="G110" i="52"/>
  <c r="R110" i="52" s="1"/>
  <c r="G108" i="52"/>
  <c r="R108" i="52" s="1"/>
  <c r="G88" i="52"/>
  <c r="R88" i="52" s="1"/>
  <c r="G86" i="52"/>
  <c r="R86" i="52" s="1"/>
  <c r="G84" i="52"/>
  <c r="R84" i="52" s="1"/>
  <c r="G80" i="52"/>
  <c r="R80" i="52" s="1"/>
  <c r="G54" i="52"/>
  <c r="R54" i="52" s="1"/>
  <c r="G42" i="52"/>
  <c r="R42" i="52" s="1"/>
  <c r="G34" i="52"/>
  <c r="R34" i="52" s="1"/>
  <c r="G68" i="56"/>
  <c r="R68" i="56" s="1"/>
  <c r="G66" i="56"/>
  <c r="R66" i="56" s="1"/>
  <c r="G64" i="56"/>
  <c r="R64" i="56" s="1"/>
  <c r="G62" i="56"/>
  <c r="R62" i="56" s="1"/>
  <c r="G60" i="56"/>
  <c r="R60" i="56" s="1"/>
  <c r="G58" i="56"/>
  <c r="R58" i="56" s="1"/>
  <c r="G56" i="56"/>
  <c r="R56" i="56" s="1"/>
  <c r="G54" i="56"/>
  <c r="R54" i="56" s="1"/>
  <c r="G52" i="56"/>
  <c r="R52" i="56" s="1"/>
  <c r="G50" i="56"/>
  <c r="R50" i="56" s="1"/>
  <c r="G48" i="56"/>
  <c r="R48" i="56" s="1"/>
  <c r="G46" i="56"/>
  <c r="R46" i="56" s="1"/>
  <c r="G44" i="56"/>
  <c r="R44" i="56" s="1"/>
  <c r="G42" i="56"/>
  <c r="R42" i="56" s="1"/>
  <c r="G40" i="56"/>
  <c r="R40" i="56" s="1"/>
  <c r="G38" i="56"/>
  <c r="R38" i="56" s="1"/>
  <c r="G36" i="56"/>
  <c r="R36" i="56" s="1"/>
  <c r="G34" i="56"/>
  <c r="R34" i="56" s="1"/>
  <c r="G28" i="56"/>
  <c r="R28" i="56" s="1"/>
  <c r="G108" i="55"/>
  <c r="R108" i="55" s="1"/>
  <c r="G106" i="55"/>
  <c r="R106" i="55" s="1"/>
  <c r="G100" i="55"/>
  <c r="R100" i="55" s="1"/>
  <c r="B8" i="55"/>
  <c r="G68" i="55"/>
  <c r="R68" i="55" s="1"/>
  <c r="G66" i="55"/>
  <c r="R66" i="55" s="1"/>
  <c r="G64" i="55"/>
  <c r="R64" i="55" s="1"/>
  <c r="G62" i="55"/>
  <c r="R62" i="55" s="1"/>
  <c r="G56" i="55"/>
  <c r="R56" i="55" s="1"/>
  <c r="G54" i="55"/>
  <c r="R54" i="55" s="1"/>
  <c r="G52" i="55"/>
  <c r="R52" i="55" s="1"/>
  <c r="G51" i="55"/>
  <c r="R51" i="55" s="1"/>
  <c r="G50" i="55"/>
  <c r="R50" i="55" s="1"/>
  <c r="G49" i="55"/>
  <c r="R49" i="55" s="1"/>
  <c r="G48" i="55"/>
  <c r="R48" i="55" s="1"/>
  <c r="G47" i="55"/>
  <c r="R47" i="55" s="1"/>
  <c r="G46" i="55"/>
  <c r="R46" i="55" s="1"/>
  <c r="G45" i="55"/>
  <c r="R45" i="55" s="1"/>
  <c r="G44" i="55"/>
  <c r="R44" i="55" s="1"/>
  <c r="G43" i="55"/>
  <c r="R43" i="55" s="1"/>
  <c r="G42" i="55"/>
  <c r="R42" i="55" s="1"/>
  <c r="G26" i="55"/>
  <c r="R26" i="55" s="1"/>
  <c r="G20" i="55"/>
  <c r="R20" i="55" s="1"/>
  <c r="G18" i="55"/>
  <c r="R18" i="55" s="1"/>
  <c r="G17" i="55"/>
  <c r="R17" i="55" s="1"/>
  <c r="G16" i="55"/>
  <c r="R16" i="55" s="1"/>
  <c r="G15" i="55"/>
  <c r="R15" i="55" s="1"/>
  <c r="G14" i="55"/>
  <c r="R14" i="55" s="1"/>
  <c r="G13" i="55"/>
  <c r="R13" i="55" s="1"/>
  <c r="G12" i="55"/>
  <c r="R12" i="55" s="1"/>
  <c r="Y49" i="61"/>
  <c r="W49" i="61" s="1"/>
  <c r="Y17" i="58"/>
  <c r="Z73" i="52"/>
  <c r="U73" i="52" s="1"/>
  <c r="AB73" i="52" s="1"/>
  <c r="U72" i="52" s="1"/>
  <c r="U41" i="59"/>
  <c r="AB41" i="59" s="1"/>
  <c r="U40" i="59" s="1"/>
  <c r="AB89" i="3"/>
  <c r="AD89" i="3" s="1"/>
  <c r="AB131" i="3" s="1"/>
  <c r="U23" i="55"/>
  <c r="AB23" i="55" s="1"/>
  <c r="U22" i="55" s="1"/>
  <c r="AB23" i="59"/>
  <c r="U22" i="59" s="1"/>
  <c r="AB49" i="62"/>
  <c r="U48" i="62" s="1"/>
  <c r="I74" i="58"/>
  <c r="W8" i="58"/>
  <c r="W74" i="58"/>
  <c r="I8" i="58"/>
  <c r="Z31" i="55"/>
  <c r="W31" i="55"/>
  <c r="S43" i="3"/>
  <c r="U34" i="3"/>
  <c r="U43" i="3" s="1"/>
  <c r="Z57" i="52"/>
  <c r="U57" i="52" s="1"/>
  <c r="AB57" i="52" s="1"/>
  <c r="W56" i="52" s="1"/>
  <c r="AA41" i="55"/>
  <c r="U41" i="55" s="1"/>
  <c r="AB41" i="55" s="1"/>
  <c r="AA21" i="55"/>
  <c r="AA31" i="52"/>
  <c r="U31" i="52" s="1"/>
  <c r="AB31" i="52" s="1"/>
  <c r="P28" i="1"/>
  <c r="S32" i="1"/>
  <c r="Z15" i="59"/>
  <c r="Q99" i="63"/>
  <c r="R99" i="63" s="1"/>
  <c r="V99" i="63" s="1"/>
  <c r="O118" i="63" s="1"/>
  <c r="R118" i="63" s="1"/>
  <c r="P99" i="63"/>
  <c r="K21" i="3"/>
  <c r="W27" i="52"/>
  <c r="K28" i="3"/>
  <c r="J19" i="3"/>
  <c r="D22" i="3"/>
  <c r="D20" i="3"/>
  <c r="Q98" i="3"/>
  <c r="R98" i="3" s="1"/>
  <c r="V98" i="3" s="1"/>
  <c r="O115" i="3" s="1"/>
  <c r="R115" i="3" s="1"/>
  <c r="Y52" i="3" s="1"/>
  <c r="W73" i="52"/>
  <c r="G35" i="50"/>
  <c r="R35" i="50" s="1"/>
  <c r="U33" i="50"/>
  <c r="G31" i="50"/>
  <c r="R31" i="50" s="1"/>
  <c r="G13" i="50"/>
  <c r="R13" i="50" s="1"/>
  <c r="U21" i="55"/>
  <c r="AB21" i="55" s="1"/>
  <c r="Z45" i="52"/>
  <c r="J21" i="3"/>
  <c r="D21" i="3"/>
  <c r="J27" i="3"/>
  <c r="D19" i="3"/>
  <c r="Q129" i="3"/>
  <c r="S129" i="3" s="1"/>
  <c r="B81" i="3" s="1"/>
  <c r="C81" i="3" s="1"/>
  <c r="Z10" i="53"/>
  <c r="W90" i="53"/>
  <c r="W92" i="53"/>
  <c r="W27" i="62"/>
  <c r="Z27" i="62"/>
  <c r="AA31" i="62" s="1"/>
  <c r="U31" i="62" s="1"/>
  <c r="AB31" i="62" s="1"/>
  <c r="AD73" i="63"/>
  <c r="R73" i="63"/>
  <c r="W59" i="53"/>
  <c r="O106" i="3"/>
  <c r="P129" i="3" s="1"/>
  <c r="U27" i="50"/>
  <c r="AA27" i="50" s="1"/>
  <c r="U26" i="50" s="1"/>
  <c r="U21" i="50"/>
  <c r="AA21" i="50" s="1"/>
  <c r="U20" i="50" s="1"/>
  <c r="U17" i="50"/>
  <c r="G48" i="53"/>
  <c r="R48" i="53" s="1"/>
  <c r="K29" i="3"/>
  <c r="R133" i="3" s="1"/>
  <c r="AD70" i="3" s="1"/>
  <c r="K19" i="3"/>
  <c r="K20" i="3"/>
  <c r="Z49" i="61"/>
  <c r="U49" i="61" s="1"/>
  <c r="AB49" i="61" s="1"/>
  <c r="W48" i="61" s="1"/>
  <c r="J28" i="3"/>
  <c r="D29" i="3"/>
  <c r="S106" i="3"/>
  <c r="U106" i="3" s="1"/>
  <c r="G92" i="53"/>
  <c r="R92" i="53" s="1"/>
  <c r="Y15" i="56"/>
  <c r="U42" i="58"/>
  <c r="G157" i="52"/>
  <c r="R157" i="52" s="1"/>
  <c r="G153" i="52"/>
  <c r="R153" i="52" s="1"/>
  <c r="U151" i="52"/>
  <c r="AB151" i="52" s="1"/>
  <c r="U150" i="52" s="1"/>
  <c r="G149" i="52"/>
  <c r="R149" i="52" s="1"/>
  <c r="G81" i="52"/>
  <c r="R81" i="52" s="1"/>
  <c r="G53" i="52"/>
  <c r="R53" i="52" s="1"/>
  <c r="U37" i="52"/>
  <c r="AB37" i="52" s="1"/>
  <c r="U36" i="52" s="1"/>
  <c r="G27" i="52"/>
  <c r="R27" i="52" s="1"/>
  <c r="U25" i="52"/>
  <c r="G23" i="52"/>
  <c r="R23" i="52" s="1"/>
  <c r="U21" i="52"/>
  <c r="AB21" i="52" s="1"/>
  <c r="U20" i="52" s="1"/>
  <c r="U19" i="52"/>
  <c r="U17" i="52"/>
  <c r="U15" i="52"/>
  <c r="AB15" i="52" s="1"/>
  <c r="U14" i="52" s="1"/>
  <c r="G13" i="52"/>
  <c r="R13" i="52" s="1"/>
  <c r="G142" i="53"/>
  <c r="R142" i="53" s="1"/>
  <c r="G106" i="53"/>
  <c r="R106" i="53" s="1"/>
  <c r="G104" i="53"/>
  <c r="R104" i="53" s="1"/>
  <c r="G102" i="53"/>
  <c r="R102" i="53" s="1"/>
  <c r="G100" i="53"/>
  <c r="R100" i="53" s="1"/>
  <c r="G98" i="53"/>
  <c r="R98" i="53" s="1"/>
  <c r="G96" i="53"/>
  <c r="R96" i="53" s="1"/>
  <c r="G94" i="53"/>
  <c r="R94" i="53" s="1"/>
  <c r="G90" i="53"/>
  <c r="R90" i="53" s="1"/>
  <c r="G88" i="53"/>
  <c r="R88" i="53" s="1"/>
  <c r="G86" i="53"/>
  <c r="R86" i="53" s="1"/>
  <c r="G84" i="53"/>
  <c r="R84" i="53" s="1"/>
  <c r="G82" i="53"/>
  <c r="R82" i="53" s="1"/>
  <c r="G80" i="53"/>
  <c r="R80" i="53" s="1"/>
  <c r="G78" i="53"/>
  <c r="R78" i="53" s="1"/>
  <c r="G62" i="53"/>
  <c r="R62" i="53" s="1"/>
  <c r="G60" i="53"/>
  <c r="R60" i="53" s="1"/>
  <c r="G58" i="53"/>
  <c r="R58" i="53" s="1"/>
  <c r="U51" i="53"/>
  <c r="AB51" i="53" s="1"/>
  <c r="U50" i="53" s="1"/>
  <c r="G46" i="53"/>
  <c r="R46" i="53" s="1"/>
  <c r="U39" i="53"/>
  <c r="U37" i="53"/>
  <c r="G33" i="53"/>
  <c r="R33" i="53" s="1"/>
  <c r="G31" i="53"/>
  <c r="R31" i="53" s="1"/>
  <c r="G29" i="53"/>
  <c r="R29" i="53" s="1"/>
  <c r="U27" i="53"/>
  <c r="U25" i="53"/>
  <c r="AB25" i="53" s="1"/>
  <c r="U24" i="53" s="1"/>
  <c r="U23" i="53"/>
  <c r="AB23" i="53" s="1"/>
  <c r="U22" i="53" s="1"/>
  <c r="U21" i="53"/>
  <c r="G19" i="53"/>
  <c r="R19" i="53" s="1"/>
  <c r="G17" i="53"/>
  <c r="R17" i="53" s="1"/>
  <c r="G21" i="59"/>
  <c r="R21" i="59" s="1"/>
  <c r="U29" i="56"/>
  <c r="G23" i="55"/>
  <c r="R23" i="55" s="1"/>
  <c r="G25" i="62"/>
  <c r="R25" i="62" s="1"/>
  <c r="G23" i="62"/>
  <c r="R23" i="62" s="1"/>
  <c r="G21" i="61"/>
  <c r="R21" i="61" s="1"/>
  <c r="G19" i="61"/>
  <c r="R19" i="61" s="1"/>
  <c r="U17" i="61"/>
  <c r="AB17" i="61" s="1"/>
  <c r="U16" i="61" s="1"/>
  <c r="U15" i="61"/>
  <c r="AB15" i="61" s="1"/>
  <c r="U14" i="61" s="1"/>
  <c r="G13" i="61"/>
  <c r="R13" i="61" s="1"/>
  <c r="U25" i="58"/>
  <c r="AB25" i="58" s="1"/>
  <c r="U24" i="58" s="1"/>
  <c r="G15" i="58"/>
  <c r="R15" i="58" s="1"/>
  <c r="U13" i="58"/>
  <c r="AB13" i="58" s="1"/>
  <c r="G62" i="52"/>
  <c r="R62" i="52" s="1"/>
  <c r="G67" i="52"/>
  <c r="R67" i="52" s="1"/>
  <c r="U119" i="52"/>
  <c r="AB119" i="52" s="1"/>
  <c r="U118" i="52" s="1"/>
  <c r="U117" i="52"/>
  <c r="U113" i="52"/>
  <c r="G56" i="53"/>
  <c r="R56" i="53" s="1"/>
  <c r="G142" i="56"/>
  <c r="R142" i="56" s="1"/>
  <c r="G140" i="56"/>
  <c r="R140" i="56" s="1"/>
  <c r="G138" i="56"/>
  <c r="R138" i="56" s="1"/>
  <c r="G136" i="56"/>
  <c r="R136" i="56" s="1"/>
  <c r="G134" i="56"/>
  <c r="R134" i="56" s="1"/>
  <c r="G130" i="56"/>
  <c r="R130" i="56" s="1"/>
  <c r="G128" i="56"/>
  <c r="R128" i="56" s="1"/>
  <c r="G126" i="56"/>
  <c r="R126" i="56" s="1"/>
  <c r="G124" i="56"/>
  <c r="R124" i="56" s="1"/>
  <c r="G120" i="56"/>
  <c r="R120" i="56" s="1"/>
  <c r="G118" i="56"/>
  <c r="R118" i="56" s="1"/>
  <c r="G116" i="56"/>
  <c r="R116" i="56" s="1"/>
  <c r="G114" i="56"/>
  <c r="R114" i="56" s="1"/>
  <c r="G112" i="56"/>
  <c r="R112" i="56" s="1"/>
  <c r="G110" i="56"/>
  <c r="R110" i="56" s="1"/>
  <c r="G108" i="56"/>
  <c r="R108" i="56" s="1"/>
  <c r="G104" i="56"/>
  <c r="R104" i="56" s="1"/>
  <c r="G102" i="56"/>
  <c r="R102" i="56" s="1"/>
  <c r="G100" i="56"/>
  <c r="R100" i="56" s="1"/>
  <c r="G98" i="56"/>
  <c r="R98" i="56" s="1"/>
  <c r="G96" i="56"/>
  <c r="R96" i="56" s="1"/>
  <c r="G94" i="56"/>
  <c r="R94" i="56" s="1"/>
  <c r="G92" i="56"/>
  <c r="R92" i="56" s="1"/>
  <c r="G90" i="56"/>
  <c r="R90" i="56" s="1"/>
  <c r="G88" i="56"/>
  <c r="R88" i="56" s="1"/>
  <c r="G86" i="56"/>
  <c r="R86" i="56" s="1"/>
  <c r="G84" i="56"/>
  <c r="R84" i="56" s="1"/>
  <c r="G80" i="56"/>
  <c r="R80" i="56" s="1"/>
  <c r="G78" i="56"/>
  <c r="R78" i="56" s="1"/>
  <c r="G70" i="56"/>
  <c r="R70" i="56" s="1"/>
  <c r="U91" i="55"/>
  <c r="AB91" i="55" s="1"/>
  <c r="U90" i="55" s="1"/>
  <c r="U89" i="55"/>
  <c r="AB89" i="55" s="1"/>
  <c r="U88" i="55" s="1"/>
  <c r="U85" i="55"/>
  <c r="AB85" i="55" s="1"/>
  <c r="U84" i="55" s="1"/>
  <c r="U83" i="55"/>
  <c r="U79" i="55"/>
  <c r="U13" i="62"/>
  <c r="AB13" i="62" s="1"/>
  <c r="U12" i="62" s="1"/>
  <c r="AB125" i="61"/>
  <c r="U124" i="61" s="1"/>
  <c r="AB121" i="61"/>
  <c r="U120" i="61" s="1"/>
  <c r="U53" i="61"/>
  <c r="AB53" i="61" s="1"/>
  <c r="U52" i="61" s="1"/>
  <c r="AB61" i="58"/>
  <c r="U60" i="58" s="1"/>
  <c r="U59" i="58"/>
  <c r="AB59" i="58" s="1"/>
  <c r="U58" i="58" s="1"/>
  <c r="G64" i="52"/>
  <c r="R64" i="52" s="1"/>
  <c r="G72" i="52"/>
  <c r="R72" i="52" s="1"/>
  <c r="G29" i="50"/>
  <c r="R29" i="50" s="1"/>
  <c r="U165" i="52"/>
  <c r="AB165" i="52" s="1"/>
  <c r="U164" i="52" s="1"/>
  <c r="U163" i="52"/>
  <c r="AB163" i="52" s="1"/>
  <c r="U162" i="52" s="1"/>
  <c r="G141" i="52"/>
  <c r="R141" i="52" s="1"/>
  <c r="U139" i="52"/>
  <c r="AB139" i="52" s="1"/>
  <c r="U138" i="52" s="1"/>
  <c r="G137" i="52"/>
  <c r="R137" i="52" s="1"/>
  <c r="G135" i="52"/>
  <c r="R135" i="52" s="1"/>
  <c r="U133" i="52"/>
  <c r="U131" i="52"/>
  <c r="U79" i="52"/>
  <c r="AB79" i="52" s="1"/>
  <c r="U78" i="52" s="1"/>
  <c r="G49" i="52"/>
  <c r="R49" i="52" s="1"/>
  <c r="G45" i="52"/>
  <c r="R45" i="52" s="1"/>
  <c r="U33" i="52"/>
  <c r="G138" i="53"/>
  <c r="R138" i="53" s="1"/>
  <c r="G136" i="53"/>
  <c r="R136" i="53" s="1"/>
  <c r="G134" i="53"/>
  <c r="R134" i="53" s="1"/>
  <c r="G132" i="53"/>
  <c r="R132" i="53" s="1"/>
  <c r="G130" i="53"/>
  <c r="R130" i="53" s="1"/>
  <c r="G128" i="53"/>
  <c r="R128" i="53" s="1"/>
  <c r="G126" i="53"/>
  <c r="R126" i="53" s="1"/>
  <c r="G124" i="53"/>
  <c r="R124" i="53" s="1"/>
  <c r="G122" i="53"/>
  <c r="R122" i="53" s="1"/>
  <c r="G120" i="53"/>
  <c r="R120" i="53" s="1"/>
  <c r="G118" i="53"/>
  <c r="R118" i="53" s="1"/>
  <c r="G116" i="53"/>
  <c r="R116" i="53" s="1"/>
  <c r="G114" i="53"/>
  <c r="R114" i="53" s="1"/>
  <c r="G112" i="53"/>
  <c r="R112" i="53" s="1"/>
  <c r="G110" i="53"/>
  <c r="R110" i="53" s="1"/>
  <c r="G108" i="53"/>
  <c r="R108" i="53" s="1"/>
  <c r="U103" i="53"/>
  <c r="AB103" i="53" s="1"/>
  <c r="U102" i="53" s="1"/>
  <c r="G101" i="53"/>
  <c r="R101" i="53" s="1"/>
  <c r="G99" i="53"/>
  <c r="R99" i="53" s="1"/>
  <c r="U97" i="53"/>
  <c r="AB97" i="53" s="1"/>
  <c r="U96" i="53" s="1"/>
  <c r="G95" i="53"/>
  <c r="R95" i="53" s="1"/>
  <c r="G87" i="53"/>
  <c r="R87" i="53" s="1"/>
  <c r="G85" i="53"/>
  <c r="R85" i="53" s="1"/>
  <c r="U83" i="53"/>
  <c r="U81" i="53"/>
  <c r="AB81" i="53" s="1"/>
  <c r="U80" i="53" s="1"/>
  <c r="G79" i="53"/>
  <c r="R79" i="53" s="1"/>
  <c r="G72" i="53"/>
  <c r="R72" i="53" s="1"/>
  <c r="G70" i="53"/>
  <c r="R70" i="53" s="1"/>
  <c r="G68" i="53"/>
  <c r="R68" i="53" s="1"/>
  <c r="G66" i="53"/>
  <c r="R66" i="53" s="1"/>
  <c r="G64" i="53"/>
  <c r="R64" i="53" s="1"/>
  <c r="U59" i="53"/>
  <c r="AB59" i="53" s="1"/>
  <c r="U58" i="53" s="1"/>
  <c r="G54" i="53"/>
  <c r="R54" i="53" s="1"/>
  <c r="U47" i="53"/>
  <c r="G12" i="53"/>
  <c r="R12" i="53" s="1"/>
  <c r="G12" i="56"/>
  <c r="R12" i="56" s="1"/>
  <c r="U57" i="55"/>
  <c r="AB57" i="55" s="1"/>
  <c r="U56" i="55" s="1"/>
  <c r="G35" i="55"/>
  <c r="R35" i="55" s="1"/>
  <c r="G31" i="55"/>
  <c r="R31" i="55" s="1"/>
  <c r="G21" i="62"/>
  <c r="R21" i="62" s="1"/>
  <c r="G49" i="61"/>
  <c r="R49" i="61" s="1"/>
  <c r="G47" i="61"/>
  <c r="R47" i="61" s="1"/>
  <c r="U45" i="61"/>
  <c r="AB45" i="61" s="1"/>
  <c r="U44" i="61" s="1"/>
  <c r="G33" i="61"/>
  <c r="R33" i="61" s="1"/>
  <c r="G31" i="61"/>
  <c r="R31" i="61" s="1"/>
  <c r="G29" i="61"/>
  <c r="R29" i="61" s="1"/>
  <c r="G66" i="52"/>
  <c r="R66" i="52" s="1"/>
  <c r="AB69" i="52"/>
  <c r="U68" i="52" s="1"/>
  <c r="U43" i="52"/>
  <c r="AB43" i="52" s="1"/>
  <c r="U42" i="52" s="1"/>
  <c r="G212" i="53"/>
  <c r="R212" i="53" s="1"/>
  <c r="G210" i="53"/>
  <c r="R210" i="53" s="1"/>
  <c r="G208" i="53"/>
  <c r="R208" i="53" s="1"/>
  <c r="G206" i="53"/>
  <c r="R206" i="53" s="1"/>
  <c r="G202" i="53"/>
  <c r="R202" i="53" s="1"/>
  <c r="G200" i="53"/>
  <c r="R200" i="53" s="1"/>
  <c r="G198" i="53"/>
  <c r="R198" i="53" s="1"/>
  <c r="G196" i="53"/>
  <c r="R196" i="53" s="1"/>
  <c r="G194" i="53"/>
  <c r="R194" i="53" s="1"/>
  <c r="G190" i="53"/>
  <c r="R190" i="53" s="1"/>
  <c r="G188" i="53"/>
  <c r="R188" i="53" s="1"/>
  <c r="G186" i="53"/>
  <c r="R186" i="53" s="1"/>
  <c r="G184" i="53"/>
  <c r="R184" i="53" s="1"/>
  <c r="G182" i="53"/>
  <c r="R182" i="53" s="1"/>
  <c r="G180" i="53"/>
  <c r="R180" i="53" s="1"/>
  <c r="G178" i="53"/>
  <c r="R178" i="53" s="1"/>
  <c r="G176" i="53"/>
  <c r="R176" i="53" s="1"/>
  <c r="G174" i="53"/>
  <c r="R174" i="53" s="1"/>
  <c r="G172" i="53"/>
  <c r="R172" i="53" s="1"/>
  <c r="G168" i="53"/>
  <c r="R168" i="53" s="1"/>
  <c r="G166" i="53"/>
  <c r="R166" i="53" s="1"/>
  <c r="G162" i="53"/>
  <c r="R162" i="53" s="1"/>
  <c r="G160" i="53"/>
  <c r="R160" i="53" s="1"/>
  <c r="G158" i="53"/>
  <c r="R158" i="53" s="1"/>
  <c r="G156" i="53"/>
  <c r="R156" i="53" s="1"/>
  <c r="G154" i="53"/>
  <c r="R154" i="53" s="1"/>
  <c r="G152" i="53"/>
  <c r="R152" i="53" s="1"/>
  <c r="G150" i="53"/>
  <c r="R150" i="53" s="1"/>
  <c r="G148" i="53"/>
  <c r="R148" i="53" s="1"/>
  <c r="G52" i="53"/>
  <c r="R52" i="53" s="1"/>
  <c r="G72" i="56"/>
  <c r="R72" i="56" s="1"/>
  <c r="G32" i="56"/>
  <c r="R32" i="56" s="1"/>
  <c r="G30" i="56"/>
  <c r="R30" i="56" s="1"/>
  <c r="G26" i="56"/>
  <c r="R26" i="56" s="1"/>
  <c r="G24" i="56"/>
  <c r="R24" i="56" s="1"/>
  <c r="G22" i="56"/>
  <c r="R22" i="56" s="1"/>
  <c r="G18" i="56"/>
  <c r="R18" i="56" s="1"/>
  <c r="G16" i="56"/>
  <c r="R16" i="56" s="1"/>
  <c r="U55" i="55"/>
  <c r="AB55" i="55" s="1"/>
  <c r="U54" i="55" s="1"/>
  <c r="U53" i="55"/>
  <c r="AB53" i="55" s="1"/>
  <c r="U52" i="55" s="1"/>
  <c r="AB73" i="62"/>
  <c r="U72" i="62" s="1"/>
  <c r="U43" i="62"/>
  <c r="AB43" i="62" s="1"/>
  <c r="U42" i="62" s="1"/>
  <c r="U61" i="61"/>
  <c r="AB61" i="61" s="1"/>
  <c r="U60" i="61" s="1"/>
  <c r="G70" i="52"/>
  <c r="R70" i="52" s="1"/>
  <c r="G83" i="52"/>
  <c r="R83" i="52" s="1"/>
  <c r="U41" i="52"/>
  <c r="AB41" i="52" s="1"/>
  <c r="U40" i="52" s="1"/>
  <c r="G140" i="53"/>
  <c r="R140" i="53" s="1"/>
  <c r="AB69" i="53"/>
  <c r="U68" i="53" s="1"/>
  <c r="G55" i="53"/>
  <c r="R55" i="53" s="1"/>
  <c r="G50" i="53"/>
  <c r="R50" i="53" s="1"/>
  <c r="G44" i="53"/>
  <c r="R44" i="53" s="1"/>
  <c r="G42" i="53"/>
  <c r="R42" i="53" s="1"/>
  <c r="G40" i="53"/>
  <c r="R40" i="53" s="1"/>
  <c r="G38" i="53"/>
  <c r="R38" i="53" s="1"/>
  <c r="G32" i="53"/>
  <c r="R32" i="53" s="1"/>
  <c r="G30" i="53"/>
  <c r="R30" i="53" s="1"/>
  <c r="G28" i="53"/>
  <c r="R28" i="53" s="1"/>
  <c r="G26" i="53"/>
  <c r="R26" i="53" s="1"/>
  <c r="G24" i="53"/>
  <c r="R24" i="53" s="1"/>
  <c r="G22" i="53"/>
  <c r="R22" i="53" s="1"/>
  <c r="G20" i="53"/>
  <c r="R20" i="53" s="1"/>
  <c r="G18" i="53"/>
  <c r="R18" i="53" s="1"/>
  <c r="G16" i="53"/>
  <c r="R16" i="53" s="1"/>
  <c r="G14" i="53"/>
  <c r="R14" i="53" s="1"/>
  <c r="U13" i="53"/>
  <c r="AB13" i="53" s="1"/>
  <c r="G15" i="59"/>
  <c r="R15" i="59" s="1"/>
  <c r="G13" i="59"/>
  <c r="R13" i="59" s="1"/>
  <c r="U13" i="56"/>
  <c r="AB13" i="56" s="1"/>
  <c r="G27" i="55"/>
  <c r="R27" i="55" s="1"/>
  <c r="AB59" i="52"/>
  <c r="U58" i="52" s="1"/>
  <c r="G60" i="52"/>
  <c r="R60" i="52" s="1"/>
  <c r="G63" i="52"/>
  <c r="R63" i="52" s="1"/>
  <c r="AB133" i="61"/>
  <c r="U132" i="61" s="1"/>
  <c r="G81" i="61"/>
  <c r="R81" i="61" s="1"/>
  <c r="AB63" i="61"/>
  <c r="U62" i="61" s="1"/>
  <c r="AB79" i="61"/>
  <c r="U78" i="61" s="1"/>
  <c r="U109" i="63"/>
  <c r="V90" i="63"/>
  <c r="AD27" i="63"/>
  <c r="AB67" i="63" s="1"/>
  <c r="AB69" i="63" s="1"/>
  <c r="P101" i="63"/>
  <c r="AD90" i="63"/>
  <c r="AB145" i="63" s="1"/>
  <c r="AC145" i="63" s="1"/>
  <c r="AE145" i="63" s="1"/>
  <c r="Y55" i="63"/>
  <c r="Z55" i="63" s="1"/>
  <c r="O109" i="63"/>
  <c r="P145" i="63" s="1"/>
  <c r="AB113" i="61"/>
  <c r="U112" i="61" s="1"/>
  <c r="Q50" i="63"/>
  <c r="AB23" i="61"/>
  <c r="U22" i="61" s="1"/>
  <c r="U25" i="61"/>
  <c r="AB25" i="61" s="1"/>
  <c r="U24" i="61" s="1"/>
  <c r="Q98" i="63"/>
  <c r="R98" i="63" s="1"/>
  <c r="P102" i="63"/>
  <c r="G23" i="59"/>
  <c r="R23" i="59" s="1"/>
  <c r="V95" i="3"/>
  <c r="O112" i="3" s="1"/>
  <c r="P112" i="3" s="1"/>
  <c r="U25" i="62"/>
  <c r="AB25" i="62" s="1"/>
  <c r="U24" i="62" s="1"/>
  <c r="AB107" i="58"/>
  <c r="U106" i="58" s="1"/>
  <c r="G33" i="59"/>
  <c r="R33" i="59" s="1"/>
  <c r="G13" i="56"/>
  <c r="R13" i="56" s="1"/>
  <c r="U35" i="55"/>
  <c r="AB35" i="55" s="1"/>
  <c r="U34" i="55" s="1"/>
  <c r="G29" i="56"/>
  <c r="R29" i="56" s="1"/>
  <c r="V97" i="3"/>
  <c r="O114" i="3" s="1"/>
  <c r="R114" i="3" s="1"/>
  <c r="Y51" i="3" s="1"/>
  <c r="Z51" i="3" s="1"/>
  <c r="P116" i="3"/>
  <c r="R116" i="3"/>
  <c r="Y53" i="3" s="1"/>
  <c r="Z53" i="3" s="1"/>
  <c r="AD68" i="3"/>
  <c r="R68" i="3"/>
  <c r="AD131" i="3" s="1"/>
  <c r="R70" i="3"/>
  <c r="AD133" i="3" s="1"/>
  <c r="V96" i="3"/>
  <c r="O113" i="3" s="1"/>
  <c r="B79" i="3"/>
  <c r="C79" i="3" s="1"/>
  <c r="AB51" i="59"/>
  <c r="U50" i="59" s="1"/>
  <c r="U43" i="59"/>
  <c r="AB43" i="59" s="1"/>
  <c r="U42" i="59" s="1"/>
  <c r="U15" i="59"/>
  <c r="AB15" i="59" s="1"/>
  <c r="U14" i="59" s="1"/>
  <c r="U21" i="59"/>
  <c r="AB21" i="59" s="1"/>
  <c r="U20" i="59" s="1"/>
  <c r="G25" i="58"/>
  <c r="R25" i="58" s="1"/>
  <c r="U19" i="61"/>
  <c r="AB19" i="61" s="1"/>
  <c r="U18" i="61" s="1"/>
  <c r="E22" i="63"/>
  <c r="Q145" i="63"/>
  <c r="S145" i="63" s="1"/>
  <c r="B84" i="63" s="1"/>
  <c r="C84" i="63" s="1"/>
  <c r="D20" i="63"/>
  <c r="G217" i="55"/>
  <c r="R217" i="55" s="1"/>
  <c r="AB19" i="58"/>
  <c r="U18" i="58" s="1"/>
  <c r="G47" i="59"/>
  <c r="R47" i="59" s="1"/>
  <c r="U37" i="59"/>
  <c r="AB37" i="59" s="1"/>
  <c r="U36" i="59" s="1"/>
  <c r="AB53" i="59"/>
  <c r="U52" i="59" s="1"/>
  <c r="G68" i="52"/>
  <c r="R68" i="52" s="1"/>
  <c r="U47" i="61"/>
  <c r="AB47" i="61" s="1"/>
  <c r="U46" i="61" s="1"/>
  <c r="U31" i="61"/>
  <c r="AB31" i="61" s="1"/>
  <c r="U30" i="61" s="1"/>
  <c r="U59" i="59"/>
  <c r="AB59" i="59" s="1"/>
  <c r="U58" i="59" s="1"/>
  <c r="G51" i="59"/>
  <c r="R51" i="59" s="1"/>
  <c r="G53" i="59"/>
  <c r="R53" i="59" s="1"/>
  <c r="G57" i="55"/>
  <c r="R57" i="55" s="1"/>
  <c r="G69" i="52"/>
  <c r="R69" i="52" s="1"/>
  <c r="U33" i="61"/>
  <c r="AB33" i="61" s="1"/>
  <c r="U32" i="61" s="1"/>
  <c r="U21" i="58"/>
  <c r="AB21" i="58" s="1"/>
  <c r="U20" i="58" s="1"/>
  <c r="AB101" i="58"/>
  <c r="U100" i="58" s="1"/>
  <c r="U19" i="62"/>
  <c r="AB19" i="62" s="1"/>
  <c r="U17" i="62"/>
  <c r="AB17" i="62" s="1"/>
  <c r="U16" i="62" s="1"/>
  <c r="AB143" i="61"/>
  <c r="U142" i="61" s="1"/>
  <c r="AB43" i="61"/>
  <c r="U42" i="61" s="1"/>
  <c r="G39" i="61"/>
  <c r="R39" i="61" s="1"/>
  <c r="G59" i="58"/>
  <c r="R59" i="58" s="1"/>
  <c r="V100" i="63"/>
  <c r="O119" i="63" s="1"/>
  <c r="R119" i="63" s="1"/>
  <c r="AB95" i="58"/>
  <c r="U94" i="58" s="1"/>
  <c r="U91" i="58"/>
  <c r="AB91" i="58" s="1"/>
  <c r="U90" i="58" s="1"/>
  <c r="U55" i="58"/>
  <c r="AB55" i="58" s="1"/>
  <c r="U54" i="58" s="1"/>
  <c r="G43" i="58"/>
  <c r="R43" i="58" s="1"/>
  <c r="AB93" i="61"/>
  <c r="U92" i="61" s="1"/>
  <c r="U89" i="61"/>
  <c r="AB89" i="61" s="1"/>
  <c r="U88" i="61" s="1"/>
  <c r="G107" i="61"/>
  <c r="R107" i="61" s="1"/>
  <c r="AB49" i="59"/>
  <c r="U48" i="59" s="1"/>
  <c r="U55" i="59"/>
  <c r="AB55" i="59" s="1"/>
  <c r="U54" i="59" s="1"/>
  <c r="U61" i="59"/>
  <c r="AB61" i="59" s="1"/>
  <c r="U60" i="59" s="1"/>
  <c r="U79" i="58"/>
  <c r="AB79" i="58" s="1"/>
  <c r="U78" i="58" s="1"/>
  <c r="U49" i="58"/>
  <c r="AB49" i="58" s="1"/>
  <c r="U48" i="58" s="1"/>
  <c r="AB99" i="58"/>
  <c r="U98" i="58" s="1"/>
  <c r="G61" i="58"/>
  <c r="R61" i="58" s="1"/>
  <c r="AB131" i="61"/>
  <c r="U130" i="61" s="1"/>
  <c r="G67" i="58"/>
  <c r="R67" i="58" s="1"/>
  <c r="U63" i="58"/>
  <c r="AB63" i="58" s="1"/>
  <c r="U62" i="58" s="1"/>
  <c r="U35" i="58"/>
  <c r="AB35" i="58" s="1"/>
  <c r="U34" i="58" s="1"/>
  <c r="AB83" i="58"/>
  <c r="U82" i="58" s="1"/>
  <c r="G83" i="58"/>
  <c r="R83" i="58" s="1"/>
  <c r="U81" i="58"/>
  <c r="AB81" i="58" s="1"/>
  <c r="U80" i="58" s="1"/>
  <c r="AB61" i="56"/>
  <c r="U60" i="56" s="1"/>
  <c r="AB29" i="59"/>
  <c r="U28" i="59" s="1"/>
  <c r="G28" i="59"/>
  <c r="R28" i="59" s="1"/>
  <c r="G31" i="59"/>
  <c r="R31" i="59" s="1"/>
  <c r="U39" i="59"/>
  <c r="AB39" i="59" s="1"/>
  <c r="U38" i="59" s="1"/>
  <c r="G27" i="59"/>
  <c r="R27" i="59" s="1"/>
  <c r="AB47" i="59"/>
  <c r="U46" i="59" s="1"/>
  <c r="AB137" i="56"/>
  <c r="U136" i="56" s="1"/>
  <c r="AB131" i="62"/>
  <c r="U130" i="62" s="1"/>
  <c r="AB137" i="62"/>
  <c r="U136" i="62" s="1"/>
  <c r="AB65" i="62"/>
  <c r="U64" i="62" s="1"/>
  <c r="U73" i="58"/>
  <c r="AB73" i="58" s="1"/>
  <c r="U72" i="58" s="1"/>
  <c r="G97" i="61"/>
  <c r="R97" i="61" s="1"/>
  <c r="U251" i="52"/>
  <c r="AB251" i="52" s="1"/>
  <c r="U250" i="52" s="1"/>
  <c r="D27" i="63"/>
  <c r="V101" i="63"/>
  <c r="O120" i="63" s="1"/>
  <c r="R120" i="63" s="1"/>
  <c r="D28" i="63"/>
  <c r="D30" i="63"/>
  <c r="V102" i="63"/>
  <c r="O121" i="63" s="1"/>
  <c r="R121" i="63" s="1"/>
  <c r="E23" i="63"/>
  <c r="E21" i="63"/>
  <c r="D22" i="63"/>
  <c r="D23" i="63"/>
  <c r="V98" i="63"/>
  <c r="O117" i="63" s="1"/>
  <c r="R117" i="63" s="1"/>
  <c r="G243" i="52"/>
  <c r="R243" i="52" s="1"/>
  <c r="AB119" i="56"/>
  <c r="U118" i="56" s="1"/>
  <c r="U57" i="53"/>
  <c r="AB57" i="53" s="1"/>
  <c r="U56" i="53" s="1"/>
  <c r="U105" i="61"/>
  <c r="AB105" i="61" s="1"/>
  <c r="U104" i="61" s="1"/>
  <c r="AB31" i="59"/>
  <c r="U30" i="59" s="1"/>
  <c r="U57" i="59"/>
  <c r="AB57" i="59" s="1"/>
  <c r="U56" i="59" s="1"/>
  <c r="U17" i="59"/>
  <c r="AB17" i="59" s="1"/>
  <c r="U16" i="59" s="1"/>
  <c r="G29" i="59"/>
  <c r="R29" i="59" s="1"/>
  <c r="U35" i="59"/>
  <c r="AB35" i="59" s="1"/>
  <c r="U34" i="59" s="1"/>
  <c r="G45" i="59"/>
  <c r="R45" i="59" s="1"/>
  <c r="U13" i="59"/>
  <c r="AB13" i="59" s="1"/>
  <c r="Y14" i="59" s="1"/>
  <c r="W14" i="59" s="1"/>
  <c r="G125" i="61"/>
  <c r="R125" i="61" s="1"/>
  <c r="AB41" i="58"/>
  <c r="U40" i="58" s="1"/>
  <c r="AB97" i="61"/>
  <c r="U96" i="61" s="1"/>
  <c r="U33" i="55"/>
  <c r="AB33" i="55" s="1"/>
  <c r="U32" i="55" s="1"/>
  <c r="U67" i="52"/>
  <c r="AB67" i="52" s="1"/>
  <c r="W66" i="52" s="1"/>
  <c r="G19" i="58"/>
  <c r="R19" i="58" s="1"/>
  <c r="U21" i="62"/>
  <c r="AB21" i="62" s="1"/>
  <c r="Y22" i="62" s="1"/>
  <c r="W22" i="62" s="1"/>
  <c r="G133" i="61"/>
  <c r="R133" i="61" s="1"/>
  <c r="U61" i="52"/>
  <c r="AB61" i="52" s="1"/>
  <c r="U60" i="52" s="1"/>
  <c r="G53" i="58"/>
  <c r="R53" i="58" s="1"/>
  <c r="G61" i="61"/>
  <c r="R61" i="61" s="1"/>
  <c r="G123" i="61"/>
  <c r="R123" i="61" s="1"/>
  <c r="U175" i="53"/>
  <c r="AB175" i="53" s="1"/>
  <c r="U174" i="53" s="1"/>
  <c r="AB157" i="53"/>
  <c r="U156" i="53" s="1"/>
  <c r="U151" i="53"/>
  <c r="AB151" i="53" s="1"/>
  <c r="U150" i="53" s="1"/>
  <c r="AB149" i="53"/>
  <c r="U148" i="53" s="1"/>
  <c r="U269" i="52"/>
  <c r="AB269" i="52" s="1"/>
  <c r="U268" i="52" s="1"/>
  <c r="U127" i="52"/>
  <c r="AB127" i="52" s="1"/>
  <c r="U126" i="52" s="1"/>
  <c r="G159" i="53"/>
  <c r="R159" i="53" s="1"/>
  <c r="AB169" i="53"/>
  <c r="U168" i="53" s="1"/>
  <c r="G169" i="53"/>
  <c r="R169" i="53" s="1"/>
  <c r="G91" i="53"/>
  <c r="R91" i="53" s="1"/>
  <c r="U53" i="53"/>
  <c r="AB53" i="53" s="1"/>
  <c r="U52" i="53" s="1"/>
  <c r="G157" i="53"/>
  <c r="R157" i="53" s="1"/>
  <c r="G165" i="53"/>
  <c r="R165" i="53" s="1"/>
  <c r="U167" i="53"/>
  <c r="AB167" i="53" s="1"/>
  <c r="U166" i="53" s="1"/>
  <c r="AB173" i="53"/>
  <c r="U172" i="53" s="1"/>
  <c r="G211" i="53"/>
  <c r="R211" i="53" s="1"/>
  <c r="AB183" i="53"/>
  <c r="U182" i="53" s="1"/>
  <c r="U187" i="53"/>
  <c r="AB187" i="53" s="1"/>
  <c r="U186" i="53" s="1"/>
  <c r="G149" i="53"/>
  <c r="R149" i="53" s="1"/>
  <c r="U189" i="53"/>
  <c r="AB189" i="53" s="1"/>
  <c r="U188" i="53" s="1"/>
  <c r="AB159" i="53"/>
  <c r="U158" i="53" s="1"/>
  <c r="U163" i="53"/>
  <c r="AB163" i="53" s="1"/>
  <c r="U162" i="53" s="1"/>
  <c r="G179" i="53"/>
  <c r="R179" i="53" s="1"/>
  <c r="G173" i="53"/>
  <c r="R173" i="53" s="1"/>
  <c r="G49" i="59"/>
  <c r="R49" i="59" s="1"/>
  <c r="U65" i="59"/>
  <c r="AB65" i="59" s="1"/>
  <c r="U64" i="59" s="1"/>
  <c r="U63" i="59"/>
  <c r="AB63" i="59" s="1"/>
  <c r="U62" i="59" s="1"/>
  <c r="G183" i="53"/>
  <c r="R183" i="53" s="1"/>
  <c r="AB67" i="59"/>
  <c r="U66" i="59" s="1"/>
  <c r="G139" i="58"/>
  <c r="R139" i="58" s="1"/>
  <c r="U109" i="58"/>
  <c r="AB109" i="58" s="1"/>
  <c r="U108" i="58" s="1"/>
  <c r="U135" i="58"/>
  <c r="AB135" i="58" s="1"/>
  <c r="U134" i="58" s="1"/>
  <c r="AB19" i="52"/>
  <c r="U18" i="52" s="1"/>
  <c r="U39" i="58"/>
  <c r="AB39" i="58" s="1"/>
  <c r="W38" i="58" s="1"/>
  <c r="U133" i="58"/>
  <c r="AB133" i="58" s="1"/>
  <c r="U132" i="58" s="1"/>
  <c r="U129" i="58"/>
  <c r="AB129" i="58" s="1"/>
  <c r="U128" i="58" s="1"/>
  <c r="U97" i="58"/>
  <c r="AB97" i="58" s="1"/>
  <c r="U96" i="58" s="1"/>
  <c r="AB61" i="62"/>
  <c r="U60" i="62" s="1"/>
  <c r="AB17" i="52"/>
  <c r="U16" i="52" s="1"/>
  <c r="AB51" i="62"/>
  <c r="U50" i="62" s="1"/>
  <c r="U201" i="53"/>
  <c r="AB201" i="53" s="1"/>
  <c r="U200" i="53" s="1"/>
  <c r="AB185" i="53"/>
  <c r="U184" i="53" s="1"/>
  <c r="AB99" i="62"/>
  <c r="U98" i="62" s="1"/>
  <c r="G99" i="61"/>
  <c r="R99" i="61" s="1"/>
  <c r="U117" i="61"/>
  <c r="AB117" i="61" s="1"/>
  <c r="U116" i="61" s="1"/>
  <c r="G95" i="61"/>
  <c r="R95" i="61" s="1"/>
  <c r="G49" i="62"/>
  <c r="R49" i="62" s="1"/>
  <c r="AB101" i="59"/>
  <c r="U100" i="59" s="1"/>
  <c r="U177" i="53"/>
  <c r="AB177" i="53" s="1"/>
  <c r="U176" i="53" s="1"/>
  <c r="AB91" i="56"/>
  <c r="U90" i="56" s="1"/>
  <c r="G53" i="61"/>
  <c r="R53" i="61" s="1"/>
  <c r="AB81" i="61"/>
  <c r="U80" i="61" s="1"/>
  <c r="U115" i="52"/>
  <c r="AB115" i="52" s="1"/>
  <c r="U114" i="52" s="1"/>
  <c r="U51" i="58"/>
  <c r="AB51" i="58" s="1"/>
  <c r="U50" i="58" s="1"/>
  <c r="AB53" i="58"/>
  <c r="U52" i="58" s="1"/>
  <c r="AB95" i="61"/>
  <c r="U94" i="61" s="1"/>
  <c r="AB99" i="61"/>
  <c r="U98" i="61" s="1"/>
  <c r="G31" i="62"/>
  <c r="R31" i="62" s="1"/>
  <c r="G91" i="61"/>
  <c r="R91" i="61" s="1"/>
  <c r="AB123" i="61"/>
  <c r="U122" i="61" s="1"/>
  <c r="G115" i="61"/>
  <c r="R115" i="61" s="1"/>
  <c r="G63" i="61"/>
  <c r="R63" i="61" s="1"/>
  <c r="U101" i="61"/>
  <c r="AB101" i="61" s="1"/>
  <c r="U100" i="61" s="1"/>
  <c r="U83" i="61"/>
  <c r="AB83" i="61" s="1"/>
  <c r="U82" i="61" s="1"/>
  <c r="U27" i="58"/>
  <c r="AB27" i="58" s="1"/>
  <c r="U26" i="58" s="1"/>
  <c r="U63" i="62"/>
  <c r="AB63" i="62" s="1"/>
  <c r="U62" i="62" s="1"/>
  <c r="AB141" i="61"/>
  <c r="U140" i="61" s="1"/>
  <c r="G29" i="58"/>
  <c r="R29" i="58" s="1"/>
  <c r="G141" i="61"/>
  <c r="R141" i="61" s="1"/>
  <c r="G53" i="62"/>
  <c r="R53" i="62" s="1"/>
  <c r="AB31" i="58"/>
  <c r="U30" i="58" s="1"/>
  <c r="G79" i="61"/>
  <c r="R79" i="61" s="1"/>
  <c r="U119" i="61"/>
  <c r="AB119" i="61" s="1"/>
  <c r="U118" i="61" s="1"/>
  <c r="U137" i="61"/>
  <c r="AB137" i="61" s="1"/>
  <c r="U136" i="61" s="1"/>
  <c r="G41" i="58"/>
  <c r="R41" i="58" s="1"/>
  <c r="U87" i="61"/>
  <c r="AB87" i="61" s="1"/>
  <c r="U86" i="61" s="1"/>
  <c r="G93" i="61"/>
  <c r="R93" i="61" s="1"/>
  <c r="G43" i="61"/>
  <c r="R43" i="61" s="1"/>
  <c r="U85" i="61"/>
  <c r="AB85" i="61" s="1"/>
  <c r="U84" i="61" s="1"/>
  <c r="AB243" i="52"/>
  <c r="U242" i="52" s="1"/>
  <c r="G279" i="52"/>
  <c r="R279" i="52" s="1"/>
  <c r="AB115" i="62"/>
  <c r="U114" i="62" s="1"/>
  <c r="G39" i="55"/>
  <c r="R39" i="55" s="1"/>
  <c r="U119" i="62"/>
  <c r="AB119" i="62" s="1"/>
  <c r="U118" i="62" s="1"/>
  <c r="U195" i="53"/>
  <c r="AB195" i="53" s="1"/>
  <c r="U194" i="53" s="1"/>
  <c r="U85" i="52"/>
  <c r="AB85" i="52" s="1"/>
  <c r="U84" i="52" s="1"/>
  <c r="G107" i="58"/>
  <c r="R107" i="58" s="1"/>
  <c r="G105" i="58"/>
  <c r="R105" i="58" s="1"/>
  <c r="G141" i="58"/>
  <c r="R141" i="58" s="1"/>
  <c r="G87" i="52"/>
  <c r="R87" i="52" s="1"/>
  <c r="G123" i="52"/>
  <c r="R123" i="52" s="1"/>
  <c r="G119" i="52"/>
  <c r="R119" i="52" s="1"/>
  <c r="U213" i="53"/>
  <c r="AB213" i="53" s="1"/>
  <c r="U212" i="53" s="1"/>
  <c r="G43" i="52"/>
  <c r="R43" i="52" s="1"/>
  <c r="AB213" i="55"/>
  <c r="U212" i="55" s="1"/>
  <c r="U255" i="52"/>
  <c r="AB255" i="52" s="1"/>
  <c r="U254" i="52" s="1"/>
  <c r="G73" i="62"/>
  <c r="R73" i="62" s="1"/>
  <c r="U79" i="62"/>
  <c r="AB79" i="62" s="1"/>
  <c r="U78" i="62" s="1"/>
  <c r="AB127" i="61"/>
  <c r="U126" i="61" s="1"/>
  <c r="G89" i="62"/>
  <c r="R89" i="62" s="1"/>
  <c r="G127" i="61"/>
  <c r="R127" i="61" s="1"/>
  <c r="G121" i="61"/>
  <c r="R121" i="61" s="1"/>
  <c r="AB107" i="61"/>
  <c r="U106" i="61" s="1"/>
  <c r="U35" i="52"/>
  <c r="AB35" i="52" s="1"/>
  <c r="U34" i="52" s="1"/>
  <c r="G113" i="52"/>
  <c r="R113" i="52" s="1"/>
  <c r="G205" i="53"/>
  <c r="R205" i="53" s="1"/>
  <c r="G91" i="55"/>
  <c r="R91" i="55" s="1"/>
  <c r="AB81" i="62"/>
  <c r="U80" i="62" s="1"/>
  <c r="AB89" i="62"/>
  <c r="U88" i="62" s="1"/>
  <c r="AB87" i="58"/>
  <c r="U86" i="58" s="1"/>
  <c r="G21" i="55"/>
  <c r="R21" i="55" s="1"/>
  <c r="AB135" i="61"/>
  <c r="U134" i="61" s="1"/>
  <c r="AB137" i="58"/>
  <c r="U136" i="58" s="1"/>
  <c r="U51" i="61"/>
  <c r="AB51" i="61" s="1"/>
  <c r="U50" i="61" s="1"/>
  <c r="U33" i="62"/>
  <c r="AB33" i="62" s="1"/>
  <c r="U32" i="62" s="1"/>
  <c r="U125" i="58"/>
  <c r="AB125" i="58" s="1"/>
  <c r="U124" i="58" s="1"/>
  <c r="AB127" i="58"/>
  <c r="U126" i="58" s="1"/>
  <c r="U83" i="62"/>
  <c r="AB83" i="62" s="1"/>
  <c r="U82" i="62" s="1"/>
  <c r="U143" i="58"/>
  <c r="AB143" i="58" s="1"/>
  <c r="U142" i="58" s="1"/>
  <c r="G81" i="62"/>
  <c r="R81" i="62" s="1"/>
  <c r="G61" i="62"/>
  <c r="R61" i="62" s="1"/>
  <c r="G103" i="61"/>
  <c r="R103" i="61" s="1"/>
  <c r="G143" i="61"/>
  <c r="R143" i="61" s="1"/>
  <c r="AB53" i="62"/>
  <c r="U52" i="62" s="1"/>
  <c r="U59" i="55"/>
  <c r="AB59" i="55" s="1"/>
  <c r="U58" i="55" s="1"/>
  <c r="G125" i="62"/>
  <c r="R125" i="62" s="1"/>
  <c r="U19" i="55"/>
  <c r="AB19" i="55" s="1"/>
  <c r="U18" i="55" s="1"/>
  <c r="U55" i="62"/>
  <c r="AB55" i="62" s="1"/>
  <c r="U54" i="62" s="1"/>
  <c r="U139" i="61"/>
  <c r="AB139" i="61" s="1"/>
  <c r="U138" i="61" s="1"/>
  <c r="G99" i="58"/>
  <c r="R99" i="58" s="1"/>
  <c r="U17" i="55"/>
  <c r="AB17" i="55" s="1"/>
  <c r="U16" i="55" s="1"/>
  <c r="U27" i="62"/>
  <c r="AB27" i="62" s="1"/>
  <c r="U26" i="62" s="1"/>
  <c r="U259" i="52"/>
  <c r="AB259" i="52" s="1"/>
  <c r="U258" i="52" s="1"/>
  <c r="U225" i="52"/>
  <c r="AB225" i="52" s="1"/>
  <c r="U224" i="52" s="1"/>
  <c r="AB261" i="52"/>
  <c r="U260" i="52" s="1"/>
  <c r="U237" i="52"/>
  <c r="AB237" i="52" s="1"/>
  <c r="U236" i="52" s="1"/>
  <c r="U67" i="62"/>
  <c r="AB67" i="62" s="1"/>
  <c r="U66" i="62" s="1"/>
  <c r="AB29" i="58"/>
  <c r="U28" i="58" s="1"/>
  <c r="AB115" i="61"/>
  <c r="U114" i="61" s="1"/>
  <c r="AB111" i="61"/>
  <c r="U110" i="61" s="1"/>
  <c r="U37" i="58"/>
  <c r="AB37" i="58" s="1"/>
  <c r="U36" i="58" s="1"/>
  <c r="U115" i="58"/>
  <c r="AB115" i="58" s="1"/>
  <c r="U114" i="58" s="1"/>
  <c r="U35" i="62"/>
  <c r="AB35" i="62" s="1"/>
  <c r="U34" i="62" s="1"/>
  <c r="AB139" i="58"/>
  <c r="U138" i="58" s="1"/>
  <c r="G127" i="58"/>
  <c r="R127" i="58" s="1"/>
  <c r="G101" i="58"/>
  <c r="R101" i="58" s="1"/>
  <c r="G121" i="58"/>
  <c r="R121" i="58" s="1"/>
  <c r="G43" i="62"/>
  <c r="R43" i="62" s="1"/>
  <c r="G87" i="58"/>
  <c r="R87" i="58" s="1"/>
  <c r="G131" i="61"/>
  <c r="R131" i="61" s="1"/>
  <c r="G51" i="62"/>
  <c r="R51" i="62" s="1"/>
  <c r="AB91" i="61"/>
  <c r="U90" i="61" s="1"/>
  <c r="U93" i="55"/>
  <c r="AB93" i="55" s="1"/>
  <c r="U92" i="55" s="1"/>
  <c r="U111" i="62"/>
  <c r="AB111" i="62" s="1"/>
  <c r="U110" i="62" s="1"/>
  <c r="AB103" i="61"/>
  <c r="U102" i="61" s="1"/>
  <c r="U109" i="61"/>
  <c r="AB109" i="61" s="1"/>
  <c r="U108" i="61" s="1"/>
  <c r="U59" i="62"/>
  <c r="AB59" i="62" s="1"/>
  <c r="U58" i="62" s="1"/>
  <c r="U129" i="61"/>
  <c r="AB129" i="61" s="1"/>
  <c r="U128" i="61" s="1"/>
  <c r="G113" i="61"/>
  <c r="R113" i="61" s="1"/>
  <c r="G111" i="61"/>
  <c r="R111" i="61" s="1"/>
  <c r="AB67" i="58"/>
  <c r="U66" i="58" s="1"/>
  <c r="G135" i="61"/>
  <c r="R135" i="61" s="1"/>
  <c r="U117" i="58"/>
  <c r="AB117" i="58" s="1"/>
  <c r="U116" i="58" s="1"/>
  <c r="G95" i="58"/>
  <c r="R95" i="58" s="1"/>
  <c r="U71" i="52"/>
  <c r="AB71" i="52" s="1"/>
  <c r="U70" i="52" s="1"/>
  <c r="U113" i="58"/>
  <c r="AB113" i="58" s="1"/>
  <c r="U112" i="58" s="1"/>
  <c r="G31" i="58"/>
  <c r="R31" i="58" s="1"/>
  <c r="AB129" i="56"/>
  <c r="U128" i="56" s="1"/>
  <c r="P53" i="3"/>
  <c r="R53" i="3" s="1"/>
  <c r="P50" i="3"/>
  <c r="R50" i="3" s="1"/>
  <c r="P49" i="3"/>
  <c r="R49" i="3" s="1"/>
  <c r="X60" i="3"/>
  <c r="P52" i="3"/>
  <c r="R52" i="3" s="1"/>
  <c r="AB27" i="53"/>
  <c r="U26" i="53" s="1"/>
  <c r="U25" i="55"/>
  <c r="AB25" i="55" s="1"/>
  <c r="U24" i="55" s="1"/>
  <c r="U81" i="55"/>
  <c r="AB81" i="55" s="1"/>
  <c r="U80" i="55" s="1"/>
  <c r="AB129" i="62"/>
  <c r="U128" i="62" s="1"/>
  <c r="U73" i="61"/>
  <c r="AB73" i="61" s="1"/>
  <c r="U72" i="61" s="1"/>
  <c r="U57" i="61"/>
  <c r="AB57" i="61" s="1"/>
  <c r="U56" i="61" s="1"/>
  <c r="U37" i="62"/>
  <c r="AB37" i="62" s="1"/>
  <c r="U36" i="62" s="1"/>
  <c r="U119" i="58"/>
  <c r="AB119" i="58" s="1"/>
  <c r="U118" i="58" s="1"/>
  <c r="U67" i="61"/>
  <c r="AB67" i="61" s="1"/>
  <c r="U66" i="61" s="1"/>
  <c r="U131" i="58"/>
  <c r="AB131" i="58" s="1"/>
  <c r="U130" i="58" s="1"/>
  <c r="G137" i="58"/>
  <c r="R137" i="58" s="1"/>
  <c r="G89" i="55"/>
  <c r="R89" i="55" s="1"/>
  <c r="U15" i="55"/>
  <c r="AB15" i="55" s="1"/>
  <c r="U14" i="55" s="1"/>
  <c r="AB97" i="55"/>
  <c r="U96" i="55" s="1"/>
  <c r="U21" i="56"/>
  <c r="AB21" i="56" s="1"/>
  <c r="U20" i="56" s="1"/>
  <c r="AB141" i="58"/>
  <c r="U140" i="58" s="1"/>
  <c r="AB35" i="56"/>
  <c r="U34" i="56" s="1"/>
  <c r="AB85" i="58"/>
  <c r="U84" i="58" s="1"/>
  <c r="U47" i="58"/>
  <c r="AB47" i="58" s="1"/>
  <c r="Y48" i="58" s="1"/>
  <c r="U65" i="52"/>
  <c r="AB65" i="52" s="1"/>
  <c r="U64" i="52" s="1"/>
  <c r="U55" i="61"/>
  <c r="AB55" i="61" s="1"/>
  <c r="U54" i="61" s="1"/>
  <c r="G123" i="58"/>
  <c r="R123" i="58" s="1"/>
  <c r="U41" i="62"/>
  <c r="AB41" i="62" s="1"/>
  <c r="U40" i="62" s="1"/>
  <c r="U103" i="58"/>
  <c r="AB103" i="58" s="1"/>
  <c r="U102" i="58" s="1"/>
  <c r="AB39" i="61"/>
  <c r="U38" i="61" s="1"/>
  <c r="U89" i="58"/>
  <c r="AB89" i="58" s="1"/>
  <c r="U88" i="58" s="1"/>
  <c r="G85" i="58"/>
  <c r="R85" i="58" s="1"/>
  <c r="AB39" i="55"/>
  <c r="U38" i="55" s="1"/>
  <c r="U87" i="55"/>
  <c r="AB87" i="55" s="1"/>
  <c r="U86" i="55" s="1"/>
  <c r="AB93" i="58"/>
  <c r="U92" i="58" s="1"/>
  <c r="U111" i="58"/>
  <c r="AB111" i="58" s="1"/>
  <c r="U110" i="58" s="1"/>
  <c r="G93" i="58"/>
  <c r="R93" i="58" s="1"/>
  <c r="AB129" i="52"/>
  <c r="U128" i="52" s="1"/>
  <c r="AB193" i="55"/>
  <c r="U192" i="55" s="1"/>
  <c r="AB195" i="52"/>
  <c r="U194" i="52" s="1"/>
  <c r="G53" i="55"/>
  <c r="R53" i="55" s="1"/>
  <c r="AB97" i="56"/>
  <c r="U96" i="56" s="1"/>
  <c r="G37" i="56"/>
  <c r="R37" i="56" s="1"/>
  <c r="AB79" i="59"/>
  <c r="U78" i="59" s="1"/>
  <c r="P119" i="63"/>
  <c r="AB51" i="56"/>
  <c r="U50" i="56" s="1"/>
  <c r="AB47" i="52"/>
  <c r="U46" i="52" s="1"/>
  <c r="S50" i="63"/>
  <c r="AA33" i="50"/>
  <c r="U32" i="50" s="1"/>
  <c r="U25" i="50"/>
  <c r="AA25" i="50" s="1"/>
  <c r="U24" i="50" s="1"/>
  <c r="G39" i="50"/>
  <c r="R39" i="50" s="1"/>
  <c r="AB99" i="56"/>
  <c r="U98" i="56" s="1"/>
  <c r="G33" i="50"/>
  <c r="R33" i="50" s="1"/>
  <c r="G73" i="59"/>
  <c r="R73" i="59" s="1"/>
  <c r="G63" i="56"/>
  <c r="R63" i="56" s="1"/>
  <c r="G85" i="55"/>
  <c r="R85" i="55" s="1"/>
  <c r="AB79" i="55"/>
  <c r="U78" i="55" s="1"/>
  <c r="G61" i="56"/>
  <c r="R61" i="56" s="1"/>
  <c r="U101" i="62"/>
  <c r="AB101" i="62" s="1"/>
  <c r="U100" i="62" s="1"/>
  <c r="G65" i="62"/>
  <c r="R65" i="62" s="1"/>
  <c r="U37" i="50"/>
  <c r="AA37" i="50" s="1"/>
  <c r="U36" i="50" s="1"/>
  <c r="U31" i="50"/>
  <c r="AA31" i="50" s="1"/>
  <c r="U30" i="50" s="1"/>
  <c r="AB277" i="52"/>
  <c r="U276" i="52" s="1"/>
  <c r="G261" i="52"/>
  <c r="R261" i="52" s="1"/>
  <c r="G27" i="50"/>
  <c r="R27" i="50" s="1"/>
  <c r="G281" i="52"/>
  <c r="R281" i="52" s="1"/>
  <c r="AB121" i="62"/>
  <c r="U120" i="62" s="1"/>
  <c r="U127" i="62"/>
  <c r="AB127" i="62" s="1"/>
  <c r="U126" i="62" s="1"/>
  <c r="T33" i="63"/>
  <c r="U67" i="56"/>
  <c r="AB67" i="56" s="1"/>
  <c r="U66" i="56" s="1"/>
  <c r="G59" i="56"/>
  <c r="R59" i="56" s="1"/>
  <c r="G45" i="56"/>
  <c r="R45" i="56" s="1"/>
  <c r="G67" i="59"/>
  <c r="R67" i="59" s="1"/>
  <c r="G73" i="56"/>
  <c r="R73" i="56" s="1"/>
  <c r="AB45" i="56"/>
  <c r="U44" i="56" s="1"/>
  <c r="U43" i="56"/>
  <c r="AB43" i="56" s="1"/>
  <c r="U42" i="56" s="1"/>
  <c r="U95" i="55"/>
  <c r="AB95" i="55" s="1"/>
  <c r="U94" i="55" s="1"/>
  <c r="AB105" i="53"/>
  <c r="U104" i="53" s="1"/>
  <c r="AB143" i="59"/>
  <c r="U142" i="59" s="1"/>
  <c r="AB141" i="59"/>
  <c r="U140" i="59" s="1"/>
  <c r="G69" i="53"/>
  <c r="R69" i="53" s="1"/>
  <c r="U111" i="53"/>
  <c r="AB111" i="53" s="1"/>
  <c r="U110" i="53" s="1"/>
  <c r="U135" i="53"/>
  <c r="AB135" i="53" s="1"/>
  <c r="U134" i="53" s="1"/>
  <c r="U73" i="53"/>
  <c r="AB73" i="53" s="1"/>
  <c r="U72" i="53" s="1"/>
  <c r="AB125" i="59"/>
  <c r="U124" i="59" s="1"/>
  <c r="U109" i="53"/>
  <c r="AB109" i="53" s="1"/>
  <c r="U108" i="53" s="1"/>
  <c r="G133" i="53"/>
  <c r="R133" i="53" s="1"/>
  <c r="G137" i="53"/>
  <c r="R137" i="53" s="1"/>
  <c r="U13" i="61"/>
  <c r="AB13" i="61" s="1"/>
  <c r="U12" i="61" s="1"/>
  <c r="G91" i="52"/>
  <c r="R91" i="52" s="1"/>
  <c r="AB219" i="52"/>
  <c r="U218" i="52" s="1"/>
  <c r="U263" i="52"/>
  <c r="AB263" i="52" s="1"/>
  <c r="U262" i="52" s="1"/>
  <c r="AB257" i="52"/>
  <c r="U256" i="52" s="1"/>
  <c r="U265" i="52"/>
  <c r="AB265" i="52" s="1"/>
  <c r="U264" i="52" s="1"/>
  <c r="U103" i="52"/>
  <c r="AB103" i="52" s="1"/>
  <c r="U102" i="52" s="1"/>
  <c r="U49" i="50"/>
  <c r="AA49" i="50" s="1"/>
  <c r="U48" i="50" s="1"/>
  <c r="AB29" i="62"/>
  <c r="U28" i="62" s="1"/>
  <c r="G23" i="61"/>
  <c r="R23" i="61" s="1"/>
  <c r="G17" i="58"/>
  <c r="R17" i="58" s="1"/>
  <c r="U21" i="61"/>
  <c r="AB21" i="61" s="1"/>
  <c r="W20" i="61" s="1"/>
  <c r="U247" i="52"/>
  <c r="AB247" i="52" s="1"/>
  <c r="U246" i="52" s="1"/>
  <c r="G41" i="50"/>
  <c r="R41" i="50" s="1"/>
  <c r="G95" i="52"/>
  <c r="R95" i="52" s="1"/>
  <c r="U15" i="58"/>
  <c r="AB15" i="58" s="1"/>
  <c r="U14" i="58" s="1"/>
  <c r="U27" i="55"/>
  <c r="AB27" i="55" s="1"/>
  <c r="U26" i="55" s="1"/>
  <c r="U27" i="61"/>
  <c r="AB27" i="61" s="1"/>
  <c r="U249" i="52"/>
  <c r="AB249" i="52" s="1"/>
  <c r="U248" i="52" s="1"/>
  <c r="AB281" i="52"/>
  <c r="U280" i="52" s="1"/>
  <c r="G245" i="52"/>
  <c r="R245" i="52" s="1"/>
  <c r="U101" i="52"/>
  <c r="AB101" i="52" s="1"/>
  <c r="U100" i="52" s="1"/>
  <c r="U267" i="52"/>
  <c r="AB267" i="52" s="1"/>
  <c r="U266" i="52" s="1"/>
  <c r="G257" i="52"/>
  <c r="R257" i="52" s="1"/>
  <c r="U63" i="52"/>
  <c r="AB63" i="52" s="1"/>
  <c r="U62" i="52" s="1"/>
  <c r="G17" i="61"/>
  <c r="R17" i="61" s="1"/>
  <c r="U23" i="62"/>
  <c r="AB23" i="62" s="1"/>
  <c r="U22" i="62" s="1"/>
  <c r="G29" i="62"/>
  <c r="R29" i="62" s="1"/>
  <c r="AB99" i="59"/>
  <c r="U98" i="59" s="1"/>
  <c r="G127" i="53"/>
  <c r="R127" i="53" s="1"/>
  <c r="AB73" i="56"/>
  <c r="U72" i="56" s="1"/>
  <c r="AB37" i="61"/>
  <c r="U36" i="61" s="1"/>
  <c r="U23" i="52"/>
  <c r="AB23" i="52" s="1"/>
  <c r="U22" i="52" s="1"/>
  <c r="AB37" i="56"/>
  <c r="U36" i="56" s="1"/>
  <c r="AB29" i="56"/>
  <c r="U28" i="56" s="1"/>
  <c r="G113" i="53"/>
  <c r="R113" i="53" s="1"/>
  <c r="G55" i="56"/>
  <c r="R55" i="56" s="1"/>
  <c r="G61" i="55"/>
  <c r="R61" i="55" s="1"/>
  <c r="G47" i="53"/>
  <c r="R47" i="53" s="1"/>
  <c r="U71" i="53"/>
  <c r="AB71" i="53" s="1"/>
  <c r="U70" i="53" s="1"/>
  <c r="G37" i="61"/>
  <c r="R37" i="61" s="1"/>
  <c r="U39" i="62"/>
  <c r="AB39" i="62" s="1"/>
  <c r="U38" i="62" s="1"/>
  <c r="U15" i="62"/>
  <c r="AB15" i="62" s="1"/>
  <c r="G79" i="55"/>
  <c r="R79" i="55" s="1"/>
  <c r="U13" i="55"/>
  <c r="AB13" i="55" s="1"/>
  <c r="U12" i="55" s="1"/>
  <c r="G35" i="56"/>
  <c r="R35" i="56" s="1"/>
  <c r="AB73" i="59"/>
  <c r="U72" i="59" s="1"/>
  <c r="U169" i="55"/>
  <c r="AB169" i="55" s="1"/>
  <c r="U168" i="55" s="1"/>
  <c r="U115" i="53"/>
  <c r="AB115" i="53" s="1"/>
  <c r="U114" i="53" s="1"/>
  <c r="U55" i="53"/>
  <c r="AB55" i="53" s="1"/>
  <c r="U54" i="53" s="1"/>
  <c r="G57" i="56"/>
  <c r="R57" i="56" s="1"/>
  <c r="G83" i="55"/>
  <c r="R83" i="55" s="1"/>
  <c r="U47" i="56"/>
  <c r="AB47" i="56" s="1"/>
  <c r="U46" i="56" s="1"/>
  <c r="G19" i="52"/>
  <c r="R19" i="52" s="1"/>
  <c r="U65" i="56"/>
  <c r="AB65" i="56" s="1"/>
  <c r="U64" i="56" s="1"/>
  <c r="G39" i="56"/>
  <c r="R39" i="56" s="1"/>
  <c r="U53" i="56"/>
  <c r="AB53" i="56" s="1"/>
  <c r="U52" i="56" s="1"/>
  <c r="AB63" i="56"/>
  <c r="U62" i="56" s="1"/>
  <c r="AB83" i="55"/>
  <c r="U82" i="55" s="1"/>
  <c r="U41" i="56"/>
  <c r="AB41" i="56" s="1"/>
  <c r="W40" i="56" s="1"/>
  <c r="G13" i="62"/>
  <c r="R13" i="62" s="1"/>
  <c r="U45" i="62"/>
  <c r="AB45" i="62" s="1"/>
  <c r="W44" i="62" s="1"/>
  <c r="G125" i="53"/>
  <c r="R125" i="53" s="1"/>
  <c r="AB133" i="53"/>
  <c r="U132" i="53" s="1"/>
  <c r="G151" i="52"/>
  <c r="R151" i="52" s="1"/>
  <c r="AB49" i="56"/>
  <c r="U48" i="56" s="1"/>
  <c r="AB39" i="56"/>
  <c r="W38" i="56" s="1"/>
  <c r="U199" i="52"/>
  <c r="AB199" i="52" s="1"/>
  <c r="U198" i="52" s="1"/>
  <c r="G59" i="53"/>
  <c r="R59" i="53" s="1"/>
  <c r="AB121" i="53"/>
  <c r="U120" i="53" s="1"/>
  <c r="G13" i="53"/>
  <c r="R13" i="53" s="1"/>
  <c r="U67" i="53"/>
  <c r="AB67" i="53" s="1"/>
  <c r="U66" i="53" s="1"/>
  <c r="U129" i="53"/>
  <c r="AB129" i="53" s="1"/>
  <c r="U128" i="53" s="1"/>
  <c r="G51" i="56"/>
  <c r="R51" i="56" s="1"/>
  <c r="U157" i="52"/>
  <c r="AB157" i="52" s="1"/>
  <c r="U156" i="52" s="1"/>
  <c r="AB57" i="56"/>
  <c r="U56" i="56" s="1"/>
  <c r="G49" i="56"/>
  <c r="R49" i="56" s="1"/>
  <c r="G97" i="55"/>
  <c r="R97" i="55" s="1"/>
  <c r="U115" i="56"/>
  <c r="AB115" i="56" s="1"/>
  <c r="U114" i="56" s="1"/>
  <c r="U113" i="56"/>
  <c r="AB113" i="56" s="1"/>
  <c r="U112" i="56" s="1"/>
  <c r="U107" i="55"/>
  <c r="AB107" i="55" s="1"/>
  <c r="U106" i="55" s="1"/>
  <c r="AB85" i="59"/>
  <c r="U84" i="59" s="1"/>
  <c r="G157" i="55"/>
  <c r="R157" i="55" s="1"/>
  <c r="U13" i="52"/>
  <c r="AB13" i="52" s="1"/>
  <c r="U12" i="52" s="1"/>
  <c r="U105" i="56"/>
  <c r="AB105" i="56" s="1"/>
  <c r="U104" i="56" s="1"/>
  <c r="G15" i="52"/>
  <c r="R15" i="52" s="1"/>
  <c r="AB119" i="55"/>
  <c r="U118" i="55" s="1"/>
  <c r="U101" i="55"/>
  <c r="AB101" i="55" s="1"/>
  <c r="U100" i="55" s="1"/>
  <c r="U131" i="55"/>
  <c r="AB131" i="55" s="1"/>
  <c r="U130" i="55" s="1"/>
  <c r="U141" i="62"/>
  <c r="AB141" i="62" s="1"/>
  <c r="U140" i="62" s="1"/>
  <c r="AB91" i="62"/>
  <c r="U90" i="62" s="1"/>
  <c r="AB195" i="55"/>
  <c r="U194" i="55" s="1"/>
  <c r="U95" i="53"/>
  <c r="AB95" i="53" s="1"/>
  <c r="U94" i="53" s="1"/>
  <c r="G155" i="55"/>
  <c r="R155" i="55" s="1"/>
  <c r="U199" i="55"/>
  <c r="AB199" i="55" s="1"/>
  <c r="U198" i="55" s="1"/>
  <c r="U177" i="55"/>
  <c r="AB177" i="55" s="1"/>
  <c r="U176" i="55" s="1"/>
  <c r="U31" i="53"/>
  <c r="AB31" i="53" s="1"/>
  <c r="U30" i="53" s="1"/>
  <c r="G27" i="53"/>
  <c r="R27" i="53" s="1"/>
  <c r="G39" i="53"/>
  <c r="R39" i="53" s="1"/>
  <c r="AB25" i="56"/>
  <c r="U24" i="56" s="1"/>
  <c r="U17" i="56"/>
  <c r="AB17" i="56" s="1"/>
  <c r="U16" i="56" s="1"/>
  <c r="U43" i="55"/>
  <c r="AB43" i="55" s="1"/>
  <c r="U42" i="55" s="1"/>
  <c r="G125" i="55"/>
  <c r="R125" i="55" s="1"/>
  <c r="G121" i="62"/>
  <c r="R121" i="62" s="1"/>
  <c r="G121" i="55"/>
  <c r="R121" i="55" s="1"/>
  <c r="AB129" i="55"/>
  <c r="U128" i="55" s="1"/>
  <c r="G55" i="55"/>
  <c r="R55" i="55" s="1"/>
  <c r="G131" i="62"/>
  <c r="R131" i="62" s="1"/>
  <c r="U29" i="55"/>
  <c r="AB29" i="55" s="1"/>
  <c r="U28" i="55" s="1"/>
  <c r="U123" i="62"/>
  <c r="AB123" i="62" s="1"/>
  <c r="U122" i="62" s="1"/>
  <c r="U105" i="62"/>
  <c r="AB105" i="62" s="1"/>
  <c r="U104" i="62" s="1"/>
  <c r="U95" i="62"/>
  <c r="AB95" i="62" s="1"/>
  <c r="U94" i="62" s="1"/>
  <c r="G137" i="62"/>
  <c r="R137" i="62" s="1"/>
  <c r="U143" i="62"/>
  <c r="AB143" i="62" s="1"/>
  <c r="U142" i="62" s="1"/>
  <c r="U85" i="62"/>
  <c r="AB85" i="62" s="1"/>
  <c r="U84" i="62" s="1"/>
  <c r="U161" i="55"/>
  <c r="AB161" i="55" s="1"/>
  <c r="U160" i="55" s="1"/>
  <c r="G173" i="55"/>
  <c r="R173" i="55" s="1"/>
  <c r="G91" i="56"/>
  <c r="R91" i="56" s="1"/>
  <c r="U45" i="55"/>
  <c r="AB45" i="55" s="1"/>
  <c r="U44" i="55" s="1"/>
  <c r="U133" i="62"/>
  <c r="AB133" i="62" s="1"/>
  <c r="U132" i="62" s="1"/>
  <c r="G117" i="55"/>
  <c r="R117" i="55" s="1"/>
  <c r="AB133" i="55"/>
  <c r="U132" i="55" s="1"/>
  <c r="G119" i="55"/>
  <c r="R119" i="55" s="1"/>
  <c r="U47" i="55"/>
  <c r="AB47" i="55" s="1"/>
  <c r="U46" i="55" s="1"/>
  <c r="U63" i="55"/>
  <c r="AB63" i="55" s="1"/>
  <c r="U62" i="55" s="1"/>
  <c r="U135" i="62"/>
  <c r="AB135" i="62" s="1"/>
  <c r="U134" i="62" s="1"/>
  <c r="U103" i="62"/>
  <c r="AB103" i="62" s="1"/>
  <c r="U102" i="62" s="1"/>
  <c r="G129" i="62"/>
  <c r="R129" i="62" s="1"/>
  <c r="U87" i="62"/>
  <c r="AB87" i="62" s="1"/>
  <c r="U86" i="62" s="1"/>
  <c r="U93" i="62"/>
  <c r="AB93" i="62" s="1"/>
  <c r="U92" i="62" s="1"/>
  <c r="AB89" i="53"/>
  <c r="U88" i="53" s="1"/>
  <c r="G189" i="55"/>
  <c r="R189" i="55" s="1"/>
  <c r="U79" i="56"/>
  <c r="AB79" i="56" s="1"/>
  <c r="U78" i="56" s="1"/>
  <c r="U181" i="55"/>
  <c r="AB181" i="55" s="1"/>
  <c r="U180" i="55" s="1"/>
  <c r="G129" i="55"/>
  <c r="R129" i="55" s="1"/>
  <c r="AB109" i="62"/>
  <c r="U108" i="62" s="1"/>
  <c r="AB107" i="62"/>
  <c r="U106" i="62" s="1"/>
  <c r="U97" i="62"/>
  <c r="AB97" i="62" s="1"/>
  <c r="U96" i="62" s="1"/>
  <c r="U117" i="62"/>
  <c r="AB117" i="62" s="1"/>
  <c r="U116" i="62" s="1"/>
  <c r="AB189" i="55"/>
  <c r="U188" i="55" s="1"/>
  <c r="U153" i="52"/>
  <c r="AB153" i="52" s="1"/>
  <c r="U152" i="52" s="1"/>
  <c r="U191" i="55"/>
  <c r="AB191" i="55" s="1"/>
  <c r="U190" i="55" s="1"/>
  <c r="G195" i="55"/>
  <c r="R195" i="55" s="1"/>
  <c r="AB159" i="52"/>
  <c r="U158" i="52" s="1"/>
  <c r="U81" i="52"/>
  <c r="AB81" i="52" s="1"/>
  <c r="U80" i="52" s="1"/>
  <c r="AB155" i="55"/>
  <c r="U154" i="55" s="1"/>
  <c r="U153" i="55"/>
  <c r="AB153" i="55" s="1"/>
  <c r="U152" i="55" s="1"/>
  <c r="U103" i="56"/>
  <c r="AB103" i="56" s="1"/>
  <c r="U102" i="56" s="1"/>
  <c r="U163" i="55"/>
  <c r="AB163" i="55" s="1"/>
  <c r="U162" i="55" s="1"/>
  <c r="U95" i="56"/>
  <c r="AB95" i="56" s="1"/>
  <c r="U94" i="56" s="1"/>
  <c r="G83" i="56"/>
  <c r="R83" i="56" s="1"/>
  <c r="U113" i="55"/>
  <c r="AB113" i="55" s="1"/>
  <c r="U112" i="55" s="1"/>
  <c r="G115" i="62"/>
  <c r="R115" i="62" s="1"/>
  <c r="G133" i="55"/>
  <c r="R133" i="55" s="1"/>
  <c r="U127" i="55"/>
  <c r="AB127" i="55" s="1"/>
  <c r="U126" i="55" s="1"/>
  <c r="AB113" i="62"/>
  <c r="U112" i="62" s="1"/>
  <c r="G109" i="55"/>
  <c r="R109" i="55" s="1"/>
  <c r="AB125" i="62"/>
  <c r="U124" i="62" s="1"/>
  <c r="AB109" i="55"/>
  <c r="U108" i="55" s="1"/>
  <c r="U49" i="55"/>
  <c r="AB49" i="55" s="1"/>
  <c r="U48" i="55" s="1"/>
  <c r="U51" i="55"/>
  <c r="AB51" i="55" s="1"/>
  <c r="U50" i="55" s="1"/>
  <c r="G71" i="55"/>
  <c r="R71" i="55" s="1"/>
  <c r="G109" i="62"/>
  <c r="R109" i="62" s="1"/>
  <c r="G107" i="62"/>
  <c r="R107" i="62" s="1"/>
  <c r="G99" i="62"/>
  <c r="R99" i="62" s="1"/>
  <c r="U139" i="62"/>
  <c r="AB139" i="62" s="1"/>
  <c r="U138" i="62" s="1"/>
  <c r="G91" i="62"/>
  <c r="R91" i="62" s="1"/>
  <c r="G113" i="62"/>
  <c r="R113" i="62" s="1"/>
  <c r="U57" i="62"/>
  <c r="AB57" i="62" s="1"/>
  <c r="U56" i="62" s="1"/>
  <c r="G51" i="53"/>
  <c r="R51" i="53" s="1"/>
  <c r="AB131" i="53"/>
  <c r="U130" i="53" s="1"/>
  <c r="AB25" i="52"/>
  <c r="U24" i="52" s="1"/>
  <c r="G33" i="56"/>
  <c r="R33" i="56" s="1"/>
  <c r="U111" i="56"/>
  <c r="AB111" i="56" s="1"/>
  <c r="U110" i="56" s="1"/>
  <c r="G41" i="52"/>
  <c r="R41" i="52" s="1"/>
  <c r="G99" i="56"/>
  <c r="R99" i="56" s="1"/>
  <c r="G21" i="52"/>
  <c r="R21" i="52" s="1"/>
  <c r="U31" i="56"/>
  <c r="AB31" i="56" s="1"/>
  <c r="U30" i="56" s="1"/>
  <c r="U45" i="52"/>
  <c r="AB45" i="52" s="1"/>
  <c r="W44" i="52" s="1"/>
  <c r="G37" i="52"/>
  <c r="R37" i="52" s="1"/>
  <c r="G187" i="52"/>
  <c r="R187" i="52" s="1"/>
  <c r="U119" i="53"/>
  <c r="AB119" i="53" s="1"/>
  <c r="U118" i="53" s="1"/>
  <c r="U123" i="53"/>
  <c r="AB123" i="53" s="1"/>
  <c r="U122" i="53" s="1"/>
  <c r="AB143" i="53"/>
  <c r="U142" i="53" s="1"/>
  <c r="U117" i="53"/>
  <c r="AB117" i="53" s="1"/>
  <c r="U116" i="53" s="1"/>
  <c r="G131" i="53"/>
  <c r="R131" i="53" s="1"/>
  <c r="AB137" i="53"/>
  <c r="U136" i="53" s="1"/>
  <c r="G25" i="52"/>
  <c r="R25" i="52" s="1"/>
  <c r="AB117" i="59"/>
  <c r="U116" i="59" s="1"/>
  <c r="G25" i="56"/>
  <c r="R25" i="56" s="1"/>
  <c r="AB39" i="53"/>
  <c r="U38" i="53" s="1"/>
  <c r="G79" i="52"/>
  <c r="R79" i="52" s="1"/>
  <c r="G143" i="53"/>
  <c r="R143" i="53" s="1"/>
  <c r="AB127" i="53"/>
  <c r="U126" i="53" s="1"/>
  <c r="G47" i="52"/>
  <c r="R47" i="52" s="1"/>
  <c r="U27" i="52"/>
  <c r="AB27" i="52" s="1"/>
  <c r="U26" i="52" s="1"/>
  <c r="G81" i="53"/>
  <c r="R81" i="53" s="1"/>
  <c r="U87" i="59"/>
  <c r="AB87" i="59" s="1"/>
  <c r="U86" i="59" s="1"/>
  <c r="G31" i="52"/>
  <c r="R31" i="52" s="1"/>
  <c r="G93" i="59"/>
  <c r="R93" i="59" s="1"/>
  <c r="G17" i="52"/>
  <c r="R17" i="52" s="1"/>
  <c r="G129" i="52"/>
  <c r="R129" i="52" s="1"/>
  <c r="G89" i="53"/>
  <c r="R89" i="53" s="1"/>
  <c r="G97" i="53"/>
  <c r="R97" i="53" s="1"/>
  <c r="U79" i="53"/>
  <c r="AB79" i="53" s="1"/>
  <c r="U78" i="53" s="1"/>
  <c r="U99" i="53"/>
  <c r="AB99" i="53" s="1"/>
  <c r="U98" i="53" s="1"/>
  <c r="G205" i="52"/>
  <c r="R205" i="52" s="1"/>
  <c r="U53" i="50"/>
  <c r="AA53" i="50" s="1"/>
  <c r="U52" i="50" s="1"/>
  <c r="AB33" i="52"/>
  <c r="U32" i="52" s="1"/>
  <c r="G83" i="53"/>
  <c r="R83" i="53" s="1"/>
  <c r="G67" i="50"/>
  <c r="R67" i="50" s="1"/>
  <c r="G65" i="50"/>
  <c r="R65" i="50" s="1"/>
  <c r="AB213" i="52"/>
  <c r="U212" i="52" s="1"/>
  <c r="G197" i="52"/>
  <c r="R197" i="52" s="1"/>
  <c r="U87" i="53"/>
  <c r="AB87" i="53" s="1"/>
  <c r="U86" i="53" s="1"/>
  <c r="G105" i="53"/>
  <c r="R105" i="53" s="1"/>
  <c r="U53" i="52"/>
  <c r="AB53" i="52" s="1"/>
  <c r="U52" i="52" s="1"/>
  <c r="U101" i="53"/>
  <c r="AB101" i="53" s="1"/>
  <c r="U100" i="53" s="1"/>
  <c r="U85" i="53"/>
  <c r="AB85" i="53" s="1"/>
  <c r="U84" i="53" s="1"/>
  <c r="U19" i="53"/>
  <c r="AB19" i="53" s="1"/>
  <c r="U18" i="53" s="1"/>
  <c r="G193" i="52"/>
  <c r="R193" i="52" s="1"/>
  <c r="U203" i="52"/>
  <c r="AB203" i="52" s="1"/>
  <c r="U202" i="52" s="1"/>
  <c r="G195" i="52"/>
  <c r="R195" i="52" s="1"/>
  <c r="G121" i="53"/>
  <c r="R121" i="53" s="1"/>
  <c r="U149" i="52"/>
  <c r="AB149" i="52" s="1"/>
  <c r="U148" i="52" s="1"/>
  <c r="U203" i="55"/>
  <c r="AB203" i="55" s="1"/>
  <c r="U202" i="55" s="1"/>
  <c r="G159" i="52"/>
  <c r="R159" i="52" s="1"/>
  <c r="U29" i="52"/>
  <c r="AB29" i="52" s="1"/>
  <c r="U28" i="52" s="1"/>
  <c r="G97" i="56"/>
  <c r="R97" i="56" s="1"/>
  <c r="U95" i="59"/>
  <c r="AB95" i="59" s="1"/>
  <c r="U94" i="59" s="1"/>
  <c r="U61" i="53"/>
  <c r="AB61" i="53" s="1"/>
  <c r="U60" i="53" s="1"/>
  <c r="U209" i="55"/>
  <c r="AB209" i="55" s="1"/>
  <c r="U208" i="55" s="1"/>
  <c r="U127" i="59"/>
  <c r="AB127" i="59" s="1"/>
  <c r="U126" i="59" s="1"/>
  <c r="G99" i="59"/>
  <c r="R99" i="59" s="1"/>
  <c r="U101" i="56"/>
  <c r="AB101" i="56" s="1"/>
  <c r="U100" i="56" s="1"/>
  <c r="G33" i="52"/>
  <c r="R33" i="52" s="1"/>
  <c r="G193" i="55"/>
  <c r="R193" i="55" s="1"/>
  <c r="G167" i="52"/>
  <c r="R167" i="52" s="1"/>
  <c r="U167" i="52"/>
  <c r="AB167" i="52" s="1"/>
  <c r="U166" i="52" s="1"/>
  <c r="G132" i="52"/>
  <c r="R132" i="52" s="1"/>
  <c r="AB133" i="52"/>
  <c r="U132" i="52" s="1"/>
  <c r="G43" i="53"/>
  <c r="R43" i="53" s="1"/>
  <c r="U43" i="53"/>
  <c r="AB43" i="53" s="1"/>
  <c r="U42" i="53" s="1"/>
  <c r="U35" i="53"/>
  <c r="AB35" i="53" s="1"/>
  <c r="U34" i="53" s="1"/>
  <c r="G35" i="53"/>
  <c r="R35" i="53" s="1"/>
  <c r="U15" i="53"/>
  <c r="G15" i="53"/>
  <c r="R15" i="53" s="1"/>
  <c r="G119" i="59"/>
  <c r="R119" i="59" s="1"/>
  <c r="U119" i="59"/>
  <c r="AB119" i="59" s="1"/>
  <c r="U118" i="59" s="1"/>
  <c r="G110" i="59"/>
  <c r="R110" i="59" s="1"/>
  <c r="AB111" i="59"/>
  <c r="U110" i="59" s="1"/>
  <c r="G104" i="59"/>
  <c r="R104" i="59" s="1"/>
  <c r="U103" i="59"/>
  <c r="AB103" i="59" s="1"/>
  <c r="U102" i="59" s="1"/>
  <c r="G103" i="59"/>
  <c r="R103" i="59" s="1"/>
  <c r="U97" i="59"/>
  <c r="AB97" i="59" s="1"/>
  <c r="U96" i="59" s="1"/>
  <c r="G97" i="59"/>
  <c r="R97" i="59" s="1"/>
  <c r="G163" i="52"/>
  <c r="R163" i="52" s="1"/>
  <c r="U137" i="52"/>
  <c r="AB137" i="52" s="1"/>
  <c r="U136" i="52" s="1"/>
  <c r="U135" i="56"/>
  <c r="AB135" i="56" s="1"/>
  <c r="U134" i="56" s="1"/>
  <c r="G101" i="59"/>
  <c r="R101" i="59" s="1"/>
  <c r="G125" i="59"/>
  <c r="R125" i="59" s="1"/>
  <c r="U29" i="53"/>
  <c r="AB29" i="53" s="1"/>
  <c r="U28" i="53" s="1"/>
  <c r="U81" i="59"/>
  <c r="AB81" i="59" s="1"/>
  <c r="U80" i="59" s="1"/>
  <c r="G73" i="50"/>
  <c r="R73" i="50" s="1"/>
  <c r="U73" i="50"/>
  <c r="AA73" i="50" s="1"/>
  <c r="U72" i="50" s="1"/>
  <c r="U57" i="50"/>
  <c r="AA57" i="50" s="1"/>
  <c r="U56" i="50" s="1"/>
  <c r="G57" i="50"/>
  <c r="R57" i="50" s="1"/>
  <c r="U43" i="50"/>
  <c r="AA43" i="50" s="1"/>
  <c r="U42" i="50" s="1"/>
  <c r="G43" i="50"/>
  <c r="R43" i="50" s="1"/>
  <c r="G278" i="52"/>
  <c r="R278" i="52" s="1"/>
  <c r="AB279" i="52"/>
  <c r="U278" i="52" s="1"/>
  <c r="U253" i="52"/>
  <c r="AB253" i="52" s="1"/>
  <c r="U252" i="52" s="1"/>
  <c r="G253" i="52"/>
  <c r="R253" i="52" s="1"/>
  <c r="G244" i="52"/>
  <c r="R244" i="52" s="1"/>
  <c r="AB245" i="52"/>
  <c r="U244" i="52" s="1"/>
  <c r="G227" i="52"/>
  <c r="R227" i="52" s="1"/>
  <c r="U227" i="52"/>
  <c r="AB227" i="52" s="1"/>
  <c r="U226" i="52" s="1"/>
  <c r="U105" i="52"/>
  <c r="AB105" i="52" s="1"/>
  <c r="U104" i="52" s="1"/>
  <c r="G105" i="52"/>
  <c r="R105" i="52" s="1"/>
  <c r="G99" i="52"/>
  <c r="R99" i="52" s="1"/>
  <c r="U99" i="52"/>
  <c r="AB99" i="52" s="1"/>
  <c r="U98" i="52" s="1"/>
  <c r="G97" i="52"/>
  <c r="R97" i="52" s="1"/>
  <c r="U97" i="52"/>
  <c r="AB97" i="52" s="1"/>
  <c r="U96" i="52" s="1"/>
  <c r="U93" i="52"/>
  <c r="AB93" i="52" s="1"/>
  <c r="W92" i="52" s="1"/>
  <c r="G93" i="52"/>
  <c r="R93" i="52" s="1"/>
  <c r="G49" i="53"/>
  <c r="R49" i="53" s="1"/>
  <c r="U49" i="53"/>
  <c r="AB49" i="53" s="1"/>
  <c r="U48" i="53" s="1"/>
  <c r="G36" i="53"/>
  <c r="R36" i="53" s="1"/>
  <c r="AB37" i="53"/>
  <c r="U36" i="53" s="1"/>
  <c r="G34" i="53"/>
  <c r="R34" i="53" s="1"/>
  <c r="U135" i="59"/>
  <c r="AB135" i="59" s="1"/>
  <c r="U134" i="59" s="1"/>
  <c r="G135" i="59"/>
  <c r="R135" i="59" s="1"/>
  <c r="U129" i="59"/>
  <c r="AB129" i="59" s="1"/>
  <c r="U128" i="59" s="1"/>
  <c r="G129" i="59"/>
  <c r="R129" i="59" s="1"/>
  <c r="AB121" i="59"/>
  <c r="U120" i="59" s="1"/>
  <c r="U115" i="59"/>
  <c r="AB115" i="59" s="1"/>
  <c r="U114" i="59" s="1"/>
  <c r="G115" i="59"/>
  <c r="R115" i="59" s="1"/>
  <c r="U105" i="59"/>
  <c r="AB105" i="59" s="1"/>
  <c r="U104" i="59" s="1"/>
  <c r="G105" i="59"/>
  <c r="R105" i="59" s="1"/>
  <c r="G96" i="59"/>
  <c r="R96" i="59" s="1"/>
  <c r="G143" i="56"/>
  <c r="R143" i="56" s="1"/>
  <c r="U143" i="56"/>
  <c r="AB143" i="56" s="1"/>
  <c r="U142" i="56" s="1"/>
  <c r="U179" i="52"/>
  <c r="AB179" i="52" s="1"/>
  <c r="U178" i="52" s="1"/>
  <c r="G21" i="53"/>
  <c r="R21" i="53" s="1"/>
  <c r="U177" i="52"/>
  <c r="AB177" i="52" s="1"/>
  <c r="U176" i="52" s="1"/>
  <c r="AB15" i="53"/>
  <c r="U14" i="53" s="1"/>
  <c r="U117" i="56"/>
  <c r="AB117" i="56" s="1"/>
  <c r="U116" i="56" s="1"/>
  <c r="G134" i="59"/>
  <c r="R134" i="59" s="1"/>
  <c r="G127" i="56"/>
  <c r="R127" i="56" s="1"/>
  <c r="G121" i="59"/>
  <c r="R121" i="59" s="1"/>
  <c r="G55" i="50"/>
  <c r="R55" i="50" s="1"/>
  <c r="U55" i="50"/>
  <c r="AA55" i="50" s="1"/>
  <c r="U54" i="50" s="1"/>
  <c r="G40" i="50"/>
  <c r="R40" i="50" s="1"/>
  <c r="AA41" i="50"/>
  <c r="U40" i="50" s="1"/>
  <c r="G139" i="52"/>
  <c r="R139" i="52" s="1"/>
  <c r="G25" i="53"/>
  <c r="R25" i="53" s="1"/>
  <c r="G273" i="52"/>
  <c r="R273" i="52" s="1"/>
  <c r="U17" i="53"/>
  <c r="AB17" i="53" s="1"/>
  <c r="U16" i="53" s="1"/>
  <c r="G165" i="52"/>
  <c r="R165" i="52" s="1"/>
  <c r="U271" i="52"/>
  <c r="AB271" i="52" s="1"/>
  <c r="U270" i="52" s="1"/>
  <c r="U275" i="52"/>
  <c r="AB275" i="52" s="1"/>
  <c r="U274" i="52" s="1"/>
  <c r="G17" i="50"/>
  <c r="R17" i="50" s="1"/>
  <c r="U141" i="52"/>
  <c r="AB141" i="52" s="1"/>
  <c r="U140" i="52" s="1"/>
  <c r="AA17" i="50"/>
  <c r="U16" i="50" s="1"/>
  <c r="G131" i="52"/>
  <c r="R131" i="52" s="1"/>
  <c r="U183" i="52"/>
  <c r="AB183" i="52" s="1"/>
  <c r="U182" i="52" s="1"/>
  <c r="U201" i="55"/>
  <c r="AB201" i="55" s="1"/>
  <c r="U200" i="55" s="1"/>
  <c r="G213" i="55"/>
  <c r="R213" i="55" s="1"/>
  <c r="G111" i="59"/>
  <c r="R111" i="59" s="1"/>
  <c r="G137" i="59"/>
  <c r="R137" i="59" s="1"/>
  <c r="U109" i="56"/>
  <c r="AB109" i="56" s="1"/>
  <c r="U108" i="56" s="1"/>
  <c r="G137" i="56"/>
  <c r="R137" i="56" s="1"/>
  <c r="G130" i="59"/>
  <c r="R130" i="59" s="1"/>
  <c r="U33" i="53"/>
  <c r="AB33" i="53" s="1"/>
  <c r="U32" i="53" s="1"/>
  <c r="U85" i="56"/>
  <c r="AB85" i="56" s="1"/>
  <c r="U84" i="56" s="1"/>
  <c r="G129" i="56"/>
  <c r="R129" i="56" s="1"/>
  <c r="U91" i="59"/>
  <c r="AB91" i="59" s="1"/>
  <c r="U90" i="59" s="1"/>
  <c r="U109" i="59"/>
  <c r="AB109" i="59" s="1"/>
  <c r="U108" i="59" s="1"/>
  <c r="G83" i="59"/>
  <c r="R83" i="59" s="1"/>
  <c r="G119" i="56"/>
  <c r="R119" i="56" s="1"/>
  <c r="G79" i="59"/>
  <c r="R79" i="59" s="1"/>
  <c r="G107" i="59"/>
  <c r="R107" i="59" s="1"/>
  <c r="AB93" i="59"/>
  <c r="U92" i="59" s="1"/>
  <c r="G117" i="59"/>
  <c r="R117" i="59" s="1"/>
  <c r="AB211" i="53"/>
  <c r="U210" i="53" s="1"/>
  <c r="U155" i="52"/>
  <c r="AB155" i="52" s="1"/>
  <c r="U154" i="52" s="1"/>
  <c r="G155" i="52"/>
  <c r="R155" i="52" s="1"/>
  <c r="G154" i="52"/>
  <c r="R154" i="52" s="1"/>
  <c r="U65" i="53"/>
  <c r="AB65" i="53" s="1"/>
  <c r="U64" i="53" s="1"/>
  <c r="G65" i="53"/>
  <c r="R65" i="53" s="1"/>
  <c r="G139" i="59"/>
  <c r="R139" i="59" s="1"/>
  <c r="U139" i="59"/>
  <c r="AB139" i="59" s="1"/>
  <c r="U138" i="59" s="1"/>
  <c r="G23" i="53"/>
  <c r="R23" i="53" s="1"/>
  <c r="AB21" i="53"/>
  <c r="U20" i="53" s="1"/>
  <c r="G85" i="59"/>
  <c r="R85" i="59" s="1"/>
  <c r="U113" i="59"/>
  <c r="AB113" i="59" s="1"/>
  <c r="U112" i="59" s="1"/>
  <c r="G143" i="59"/>
  <c r="R143" i="59" s="1"/>
  <c r="G37" i="53"/>
  <c r="R37" i="53" s="1"/>
  <c r="U123" i="59"/>
  <c r="AB123" i="59" s="1"/>
  <c r="U122" i="59" s="1"/>
  <c r="G141" i="59"/>
  <c r="R141" i="59" s="1"/>
  <c r="AB127" i="56"/>
  <c r="U126" i="56" s="1"/>
  <c r="G89" i="59"/>
  <c r="R89" i="59" s="1"/>
  <c r="AB83" i="59"/>
  <c r="U82" i="59" s="1"/>
  <c r="G133" i="56"/>
  <c r="R133" i="56" s="1"/>
  <c r="U15" i="50"/>
  <c r="AA15" i="50" s="1"/>
  <c r="U14" i="50" s="1"/>
  <c r="G15" i="50"/>
  <c r="R15" i="50" s="1"/>
  <c r="G111" i="52"/>
  <c r="R111" i="52" s="1"/>
  <c r="U111" i="52"/>
  <c r="AB111" i="52" s="1"/>
  <c r="U110" i="52" s="1"/>
  <c r="G109" i="52"/>
  <c r="R109" i="52" s="1"/>
  <c r="U109" i="52"/>
  <c r="AB109" i="52" s="1"/>
  <c r="U108" i="52" s="1"/>
  <c r="G55" i="52"/>
  <c r="R55" i="52" s="1"/>
  <c r="U55" i="52"/>
  <c r="AB55" i="52" s="1"/>
  <c r="U54" i="52" s="1"/>
  <c r="U209" i="53"/>
  <c r="AB209" i="53" s="1"/>
  <c r="U208" i="53" s="1"/>
  <c r="G209" i="53"/>
  <c r="R209" i="53" s="1"/>
  <c r="G207" i="53"/>
  <c r="R207" i="53" s="1"/>
  <c r="U207" i="53"/>
  <c r="AB207" i="53" s="1"/>
  <c r="U206" i="53" s="1"/>
  <c r="G203" i="53"/>
  <c r="R203" i="53" s="1"/>
  <c r="U203" i="53"/>
  <c r="AB203" i="53" s="1"/>
  <c r="U202" i="53" s="1"/>
  <c r="G199" i="53"/>
  <c r="R199" i="53" s="1"/>
  <c r="U199" i="53"/>
  <c r="AB199" i="53" s="1"/>
  <c r="U198" i="53" s="1"/>
  <c r="U193" i="53"/>
  <c r="AB193" i="53" s="1"/>
  <c r="U192" i="53" s="1"/>
  <c r="G193" i="53"/>
  <c r="R193" i="53" s="1"/>
  <c r="G192" i="53"/>
  <c r="R192" i="53" s="1"/>
  <c r="U191" i="53"/>
  <c r="AB191" i="53" s="1"/>
  <c r="U190" i="53" s="1"/>
  <c r="G191" i="53"/>
  <c r="R191" i="53" s="1"/>
  <c r="G181" i="53"/>
  <c r="R181" i="53" s="1"/>
  <c r="U181" i="53"/>
  <c r="AB181" i="53" s="1"/>
  <c r="U180" i="53" s="1"/>
  <c r="G170" i="53"/>
  <c r="R170" i="53" s="1"/>
  <c r="AB171" i="53"/>
  <c r="U170" i="53" s="1"/>
  <c r="G164" i="53"/>
  <c r="R164" i="53" s="1"/>
  <c r="AB165" i="53"/>
  <c r="U164" i="53" s="1"/>
  <c r="U161" i="53"/>
  <c r="AB161" i="53" s="1"/>
  <c r="U160" i="53" s="1"/>
  <c r="G161" i="53"/>
  <c r="R161" i="53" s="1"/>
  <c r="G155" i="53"/>
  <c r="R155" i="53" s="1"/>
  <c r="U155" i="53"/>
  <c r="AB155" i="53" s="1"/>
  <c r="U154" i="53" s="1"/>
  <c r="G153" i="53"/>
  <c r="R153" i="53" s="1"/>
  <c r="U153" i="53"/>
  <c r="AB153" i="53" s="1"/>
  <c r="U152" i="53" s="1"/>
  <c r="U181" i="52"/>
  <c r="AB181" i="52" s="1"/>
  <c r="U180" i="52" s="1"/>
  <c r="G181" i="52"/>
  <c r="R181" i="52" s="1"/>
  <c r="G175" i="52"/>
  <c r="R175" i="52" s="1"/>
  <c r="U175" i="52"/>
  <c r="AB175" i="52" s="1"/>
  <c r="U174" i="52" s="1"/>
  <c r="G41" i="53"/>
  <c r="R41" i="53" s="1"/>
  <c r="AB137" i="59"/>
  <c r="U136" i="59" s="1"/>
  <c r="G133" i="59"/>
  <c r="R133" i="59" s="1"/>
  <c r="U133" i="59"/>
  <c r="AB133" i="59" s="1"/>
  <c r="U132" i="59" s="1"/>
  <c r="U131" i="59"/>
  <c r="AB131" i="59" s="1"/>
  <c r="U130" i="59" s="1"/>
  <c r="G131" i="59"/>
  <c r="R131" i="59" s="1"/>
  <c r="G128" i="59"/>
  <c r="R128" i="59" s="1"/>
  <c r="AB107" i="59"/>
  <c r="U106" i="59" s="1"/>
  <c r="AB89" i="59"/>
  <c r="U88" i="59" s="1"/>
  <c r="G141" i="56"/>
  <c r="R141" i="56" s="1"/>
  <c r="U141" i="56"/>
  <c r="AB141" i="56" s="1"/>
  <c r="U140" i="56" s="1"/>
  <c r="U139" i="56"/>
  <c r="AB139" i="56" s="1"/>
  <c r="U138" i="56" s="1"/>
  <c r="G139" i="56"/>
  <c r="R139" i="56" s="1"/>
  <c r="G132" i="56"/>
  <c r="R132" i="56" s="1"/>
  <c r="AB133" i="56"/>
  <c r="U132" i="56" s="1"/>
  <c r="G131" i="56"/>
  <c r="R131" i="56" s="1"/>
  <c r="U131" i="56"/>
  <c r="AB131" i="56" s="1"/>
  <c r="U130" i="56" s="1"/>
  <c r="G125" i="56"/>
  <c r="R125" i="56" s="1"/>
  <c r="U125" i="56"/>
  <c r="AB125" i="56" s="1"/>
  <c r="U124" i="56" s="1"/>
  <c r="U123" i="56"/>
  <c r="AB123" i="56" s="1"/>
  <c r="U122" i="56" s="1"/>
  <c r="G123" i="56"/>
  <c r="R123" i="56" s="1"/>
  <c r="G122" i="56"/>
  <c r="R122" i="56" s="1"/>
  <c r="G121" i="56"/>
  <c r="R121" i="56" s="1"/>
  <c r="U121" i="56"/>
  <c r="AB121" i="56" s="1"/>
  <c r="U120" i="56" s="1"/>
  <c r="U107" i="56"/>
  <c r="AB107" i="56" s="1"/>
  <c r="U106" i="56" s="1"/>
  <c r="G107" i="56"/>
  <c r="R107" i="56" s="1"/>
  <c r="G106" i="56"/>
  <c r="R106" i="56" s="1"/>
  <c r="U93" i="56"/>
  <c r="AB93" i="56" s="1"/>
  <c r="U92" i="56" s="1"/>
  <c r="G93" i="56"/>
  <c r="R93" i="56" s="1"/>
  <c r="U89" i="56"/>
  <c r="AB89" i="56" s="1"/>
  <c r="U88" i="56" s="1"/>
  <c r="G89" i="56"/>
  <c r="R89" i="56" s="1"/>
  <c r="U87" i="56"/>
  <c r="AB87" i="56" s="1"/>
  <c r="U86" i="56" s="1"/>
  <c r="G87" i="56"/>
  <c r="R87" i="56" s="1"/>
  <c r="G82" i="56"/>
  <c r="R82" i="56" s="1"/>
  <c r="AB83" i="56"/>
  <c r="U82" i="56" s="1"/>
  <c r="G81" i="56"/>
  <c r="R81" i="56" s="1"/>
  <c r="U81" i="56"/>
  <c r="AB81" i="56" s="1"/>
  <c r="U80" i="56" s="1"/>
  <c r="G23" i="56"/>
  <c r="R23" i="56" s="1"/>
  <c r="U23" i="56"/>
  <c r="AB23" i="56" s="1"/>
  <c r="U211" i="55"/>
  <c r="AB211" i="55" s="1"/>
  <c r="U210" i="55" s="1"/>
  <c r="G211" i="55"/>
  <c r="R211" i="55" s="1"/>
  <c r="U207" i="55"/>
  <c r="AB207" i="55" s="1"/>
  <c r="U206" i="55" s="1"/>
  <c r="G207" i="55"/>
  <c r="R207" i="55" s="1"/>
  <c r="G205" i="55"/>
  <c r="R205" i="55" s="1"/>
  <c r="U205" i="55"/>
  <c r="AB205" i="55" s="1"/>
  <c r="U204" i="55" s="1"/>
  <c r="U197" i="55"/>
  <c r="AB197" i="55" s="1"/>
  <c r="U196" i="55" s="1"/>
  <c r="G197" i="55"/>
  <c r="R197" i="55" s="1"/>
  <c r="U187" i="55"/>
  <c r="AB187" i="55" s="1"/>
  <c r="U186" i="55" s="1"/>
  <c r="G187" i="55"/>
  <c r="R187" i="55" s="1"/>
  <c r="U185" i="55"/>
  <c r="AB185" i="55" s="1"/>
  <c r="U184" i="55" s="1"/>
  <c r="G185" i="55"/>
  <c r="R185" i="55" s="1"/>
  <c r="G184" i="55"/>
  <c r="R184" i="55" s="1"/>
  <c r="G183" i="55"/>
  <c r="R183" i="55" s="1"/>
  <c r="U183" i="55"/>
  <c r="AB183" i="55" s="1"/>
  <c r="U182" i="55" s="1"/>
  <c r="U179" i="55"/>
  <c r="AB179" i="55" s="1"/>
  <c r="U178" i="55" s="1"/>
  <c r="G179" i="55"/>
  <c r="R179" i="55" s="1"/>
  <c r="G178" i="55"/>
  <c r="R178" i="55" s="1"/>
  <c r="G175" i="55"/>
  <c r="R175" i="55" s="1"/>
  <c r="U175" i="55"/>
  <c r="AB175" i="55" s="1"/>
  <c r="U174" i="55" s="1"/>
  <c r="AB173" i="55"/>
  <c r="U172" i="55" s="1"/>
  <c r="G172" i="55"/>
  <c r="R172" i="55" s="1"/>
  <c r="U171" i="55"/>
  <c r="AB171" i="55" s="1"/>
  <c r="U170" i="55" s="1"/>
  <c r="G171" i="55"/>
  <c r="R171" i="55" s="1"/>
  <c r="U167" i="55"/>
  <c r="AB167" i="55" s="1"/>
  <c r="U166" i="55" s="1"/>
  <c r="G167" i="55"/>
  <c r="R167" i="55" s="1"/>
  <c r="U165" i="55"/>
  <c r="AB165" i="55" s="1"/>
  <c r="U164" i="55" s="1"/>
  <c r="G165" i="55"/>
  <c r="R165" i="55" s="1"/>
  <c r="G159" i="55"/>
  <c r="R159" i="55" s="1"/>
  <c r="U159" i="55"/>
  <c r="AB159" i="55" s="1"/>
  <c r="U158" i="55" s="1"/>
  <c r="U151" i="55"/>
  <c r="AB151" i="55" s="1"/>
  <c r="U150" i="55" s="1"/>
  <c r="G151" i="55"/>
  <c r="R151" i="55" s="1"/>
  <c r="G149" i="55"/>
  <c r="R149" i="55" s="1"/>
  <c r="U149" i="55"/>
  <c r="AB149" i="55" s="1"/>
  <c r="U148" i="55" s="1"/>
  <c r="U143" i="55"/>
  <c r="AB143" i="55" s="1"/>
  <c r="U142" i="55" s="1"/>
  <c r="G143" i="55"/>
  <c r="R143" i="55" s="1"/>
  <c r="G137" i="55"/>
  <c r="R137" i="55" s="1"/>
  <c r="U137" i="55"/>
  <c r="AB137" i="55" s="1"/>
  <c r="U136" i="55" s="1"/>
  <c r="G135" i="55"/>
  <c r="R135" i="55" s="1"/>
  <c r="U135" i="55"/>
  <c r="AB135" i="55" s="1"/>
  <c r="U134" i="55" s="1"/>
  <c r="G124" i="55"/>
  <c r="R124" i="55" s="1"/>
  <c r="AB125" i="55"/>
  <c r="U124" i="55" s="1"/>
  <c r="G123" i="55"/>
  <c r="R123" i="55" s="1"/>
  <c r="U123" i="55"/>
  <c r="AB123" i="55" s="1"/>
  <c r="U122" i="55" s="1"/>
  <c r="G120" i="55"/>
  <c r="R120" i="55" s="1"/>
  <c r="AB121" i="55"/>
  <c r="U120" i="55" s="1"/>
  <c r="G116" i="55"/>
  <c r="R116" i="55" s="1"/>
  <c r="AB117" i="55"/>
  <c r="U116" i="55" s="1"/>
  <c r="U115" i="55"/>
  <c r="AB115" i="55" s="1"/>
  <c r="U114" i="55" s="1"/>
  <c r="G115" i="55"/>
  <c r="R115" i="55" s="1"/>
  <c r="G114" i="55"/>
  <c r="R114" i="55" s="1"/>
  <c r="G111" i="55"/>
  <c r="R111" i="55" s="1"/>
  <c r="U111" i="55"/>
  <c r="AB111" i="55" s="1"/>
  <c r="U110" i="55" s="1"/>
  <c r="U105" i="55"/>
  <c r="AB105" i="55" s="1"/>
  <c r="U104" i="55" s="1"/>
  <c r="G105" i="55"/>
  <c r="R105" i="55" s="1"/>
  <c r="G104" i="55"/>
  <c r="R104" i="55" s="1"/>
  <c r="U103" i="55"/>
  <c r="AB103" i="55" s="1"/>
  <c r="U102" i="55" s="1"/>
  <c r="G103" i="55"/>
  <c r="R103" i="55" s="1"/>
  <c r="G102" i="55"/>
  <c r="R102" i="55" s="1"/>
  <c r="U73" i="55"/>
  <c r="AB73" i="55" s="1"/>
  <c r="U72" i="55" s="1"/>
  <c r="G73" i="55"/>
  <c r="R73" i="55" s="1"/>
  <c r="G72" i="55"/>
  <c r="R72" i="55" s="1"/>
  <c r="G70" i="55"/>
  <c r="R70" i="55" s="1"/>
  <c r="AB71" i="55"/>
  <c r="U70" i="55" s="1"/>
  <c r="G69" i="55"/>
  <c r="R69" i="55" s="1"/>
  <c r="U69" i="55"/>
  <c r="AB69" i="55" s="1"/>
  <c r="U68" i="55" s="1"/>
  <c r="U67" i="55"/>
  <c r="AB67" i="55" s="1"/>
  <c r="U66" i="55" s="1"/>
  <c r="G67" i="55"/>
  <c r="R67" i="55" s="1"/>
  <c r="G65" i="55"/>
  <c r="R65" i="55" s="1"/>
  <c r="U65" i="55"/>
  <c r="AB65" i="55" s="1"/>
  <c r="U64" i="55" s="1"/>
  <c r="U51" i="52"/>
  <c r="AB51" i="52" s="1"/>
  <c r="U50" i="52" s="1"/>
  <c r="AB113" i="52"/>
  <c r="U112" i="52" s="1"/>
  <c r="G213" i="52"/>
  <c r="R213" i="52" s="1"/>
  <c r="U56" i="52"/>
  <c r="G277" i="52"/>
  <c r="R277" i="52" s="1"/>
  <c r="G283" i="52"/>
  <c r="R283" i="52" s="1"/>
  <c r="U185" i="52"/>
  <c r="AB185" i="52" s="1"/>
  <c r="U184" i="52" s="1"/>
  <c r="U201" i="52"/>
  <c r="AB201" i="52" s="1"/>
  <c r="U200" i="52" s="1"/>
  <c r="AB205" i="52"/>
  <c r="U204" i="52" s="1"/>
  <c r="U47" i="50"/>
  <c r="AA47" i="50" s="1"/>
  <c r="U46" i="50" s="1"/>
  <c r="U45" i="50"/>
  <c r="AA45" i="50" s="1"/>
  <c r="U44" i="50" s="1"/>
  <c r="U287" i="52"/>
  <c r="AB287" i="52" s="1"/>
  <c r="U286" i="52" s="1"/>
  <c r="U125" i="52"/>
  <c r="AB125" i="52" s="1"/>
  <c r="U124" i="52" s="1"/>
  <c r="G173" i="52"/>
  <c r="R173" i="52" s="1"/>
  <c r="U49" i="52"/>
  <c r="AB49" i="52" s="1"/>
  <c r="U48" i="52" s="1"/>
  <c r="G103" i="53"/>
  <c r="R103" i="53" s="1"/>
  <c r="U83" i="52"/>
  <c r="AB83" i="52" s="1"/>
  <c r="U82" i="52" s="1"/>
  <c r="AB131" i="52"/>
  <c r="U130" i="52" s="1"/>
  <c r="AB91" i="53"/>
  <c r="U90" i="53" s="1"/>
  <c r="AB179" i="53"/>
  <c r="U178" i="53" s="1"/>
  <c r="U19" i="50"/>
  <c r="AA19" i="50" s="1"/>
  <c r="U18" i="50" s="1"/>
  <c r="U223" i="52"/>
  <c r="AB223" i="52" s="1"/>
  <c r="U222" i="52" s="1"/>
  <c r="G117" i="52"/>
  <c r="R117" i="52" s="1"/>
  <c r="AB229" i="52"/>
  <c r="U228" i="52" s="1"/>
  <c r="U207" i="52"/>
  <c r="AB207" i="52" s="1"/>
  <c r="U206" i="52" s="1"/>
  <c r="U197" i="53"/>
  <c r="AB197" i="53" s="1"/>
  <c r="U196" i="53" s="1"/>
  <c r="G21" i="50"/>
  <c r="R21" i="50" s="1"/>
  <c r="U23" i="50"/>
  <c r="AA23" i="50" s="1"/>
  <c r="U22" i="50" s="1"/>
  <c r="U35" i="50"/>
  <c r="AA35" i="50" s="1"/>
  <c r="U34" i="50" s="1"/>
  <c r="U51" i="50"/>
  <c r="AA51" i="50" s="1"/>
  <c r="U50" i="50" s="1"/>
  <c r="U221" i="52"/>
  <c r="AB221" i="52" s="1"/>
  <c r="U220" i="52" s="1"/>
  <c r="G219" i="52"/>
  <c r="R219" i="52" s="1"/>
  <c r="U39" i="52"/>
  <c r="AB39" i="52" s="1"/>
  <c r="U38" i="52" s="1"/>
  <c r="G171" i="53"/>
  <c r="R171" i="53" s="1"/>
  <c r="G185" i="53"/>
  <c r="R185" i="53" s="1"/>
  <c r="AB191" i="52"/>
  <c r="U190" i="52" s="1"/>
  <c r="U61" i="50"/>
  <c r="AA61" i="50" s="1"/>
  <c r="U60" i="50" s="1"/>
  <c r="G133" i="52"/>
  <c r="R133" i="52" s="1"/>
  <c r="G59" i="50"/>
  <c r="R59" i="50" s="1"/>
  <c r="G229" i="52"/>
  <c r="R229" i="52" s="1"/>
  <c r="AB241" i="52"/>
  <c r="U240" i="52" s="1"/>
  <c r="U231" i="52"/>
  <c r="AB231" i="52" s="1"/>
  <c r="U230" i="52" s="1"/>
  <c r="G191" i="52"/>
  <c r="R191" i="52" s="1"/>
  <c r="AA65" i="50"/>
  <c r="U64" i="50" s="1"/>
  <c r="G241" i="52"/>
  <c r="R241" i="52" s="1"/>
  <c r="U239" i="52"/>
  <c r="AB239" i="52" s="1"/>
  <c r="U238" i="52" s="1"/>
  <c r="U189" i="52"/>
  <c r="AB189" i="52" s="1"/>
  <c r="U188" i="52" s="1"/>
  <c r="U135" i="52"/>
  <c r="AB135" i="52" s="1"/>
  <c r="U134" i="52" s="1"/>
  <c r="G235" i="52"/>
  <c r="R235" i="52" s="1"/>
  <c r="U233" i="52"/>
  <c r="AB233" i="52" s="1"/>
  <c r="U232" i="52" s="1"/>
  <c r="AB193" i="52"/>
  <c r="U192" i="52" s="1"/>
  <c r="U121" i="52"/>
  <c r="AB121" i="52" s="1"/>
  <c r="U120" i="52" s="1"/>
  <c r="AB235" i="52"/>
  <c r="U234" i="52" s="1"/>
  <c r="AB87" i="52"/>
  <c r="U86" i="52" s="1"/>
  <c r="U63" i="50"/>
  <c r="AA63" i="50" s="1"/>
  <c r="U62" i="50" s="1"/>
  <c r="U29" i="50"/>
  <c r="AA29" i="50" s="1"/>
  <c r="U28" i="50" s="1"/>
  <c r="U13" i="50"/>
  <c r="AA13" i="50" s="1"/>
  <c r="U12" i="50" s="1"/>
  <c r="AA59" i="50"/>
  <c r="U58" i="50" s="1"/>
  <c r="U171" i="52"/>
  <c r="AB171" i="52" s="1"/>
  <c r="U170" i="52" s="1"/>
  <c r="AB173" i="52"/>
  <c r="U172" i="52" s="1"/>
  <c r="AB157" i="55"/>
  <c r="U156" i="55" s="1"/>
  <c r="Y26" i="58"/>
  <c r="AB47" i="53"/>
  <c r="U46" i="53" s="1"/>
  <c r="AB55" i="56"/>
  <c r="U54" i="56" s="1"/>
  <c r="AB125" i="53"/>
  <c r="U124" i="53" s="1"/>
  <c r="AB45" i="59"/>
  <c r="U44" i="59" s="1"/>
  <c r="AB33" i="59"/>
  <c r="U32" i="59" s="1"/>
  <c r="AB273" i="52"/>
  <c r="U272" i="52" s="1"/>
  <c r="AB91" i="52"/>
  <c r="U90" i="52" s="1"/>
  <c r="AA39" i="50"/>
  <c r="U38" i="50" s="1"/>
  <c r="AB205" i="53"/>
  <c r="U204" i="53" s="1"/>
  <c r="G204" i="53"/>
  <c r="R204" i="53" s="1"/>
  <c r="AB197" i="52"/>
  <c r="U196" i="52" s="1"/>
  <c r="AB187" i="52"/>
  <c r="U186" i="52" s="1"/>
  <c r="AB113" i="53"/>
  <c r="U112" i="53" s="1"/>
  <c r="AB83" i="53"/>
  <c r="U82" i="53" s="1"/>
  <c r="I74" i="52"/>
  <c r="W74" i="52" s="1"/>
  <c r="I8" i="52"/>
  <c r="W8" i="52" s="1"/>
  <c r="I214" i="52"/>
  <c r="W214" i="52" s="1"/>
  <c r="I144" i="52"/>
  <c r="W144" i="52" s="1"/>
  <c r="I8" i="50"/>
  <c r="W8" i="50" s="1"/>
  <c r="I144" i="53"/>
  <c r="W144" i="53" s="1"/>
  <c r="I74" i="53"/>
  <c r="W74" i="53" s="1"/>
  <c r="I8" i="53"/>
  <c r="W8" i="53" s="1"/>
  <c r="I8" i="59"/>
  <c r="W8" i="59" s="1"/>
  <c r="I74" i="59"/>
  <c r="W74" i="59" s="1"/>
  <c r="Z69" i="50"/>
  <c r="Q8" i="50"/>
  <c r="Z71" i="50"/>
  <c r="W12" i="58"/>
  <c r="U12" i="58"/>
  <c r="AB117" i="52"/>
  <c r="U116" i="52" s="1"/>
  <c r="AB283" i="52"/>
  <c r="U282" i="52" s="1"/>
  <c r="AA67" i="50"/>
  <c r="AB27" i="59"/>
  <c r="AB59" i="56"/>
  <c r="U58" i="56" s="1"/>
  <c r="AA6" i="55"/>
  <c r="AA6" i="62"/>
  <c r="AA6" i="52"/>
  <c r="AA6" i="59"/>
  <c r="AA89" i="52" l="1"/>
  <c r="U89" i="52" s="1"/>
  <c r="AB89" i="52" s="1"/>
  <c r="AD16" i="3"/>
  <c r="AB26" i="3"/>
  <c r="AD26" i="3" s="1"/>
  <c r="AB66" i="3" s="1"/>
  <c r="AB68" i="3" s="1"/>
  <c r="W17" i="58"/>
  <c r="Z17" i="58"/>
  <c r="I74" i="55"/>
  <c r="I144" i="55"/>
  <c r="I8" i="55"/>
  <c r="W144" i="55"/>
  <c r="W8" i="55"/>
  <c r="W74" i="55"/>
  <c r="W35" i="61"/>
  <c r="Z35" i="61"/>
  <c r="AB44" i="63"/>
  <c r="B80" i="63"/>
  <c r="C80" i="63" s="1"/>
  <c r="W41" i="53"/>
  <c r="Z41" i="53"/>
  <c r="AC68" i="3"/>
  <c r="AE68" i="3" s="1"/>
  <c r="AC69" i="63"/>
  <c r="AE69" i="63" s="1"/>
  <c r="R112" i="3"/>
  <c r="Y49" i="3" s="1"/>
  <c r="Z49" i="3" s="1"/>
  <c r="AC131" i="3"/>
  <c r="AE131" i="3" s="1"/>
  <c r="AA139" i="55"/>
  <c r="U139" i="55" s="1"/>
  <c r="AB139" i="55" s="1"/>
  <c r="AA141" i="55"/>
  <c r="U141" i="55" s="1"/>
  <c r="AB141" i="55" s="1"/>
  <c r="Q8" i="55"/>
  <c r="AA71" i="62"/>
  <c r="U71" i="62" s="1"/>
  <c r="AB71" i="62" s="1"/>
  <c r="AA69" i="62"/>
  <c r="U69" i="62" s="1"/>
  <c r="AB69" i="62" s="1"/>
  <c r="Q8" i="62"/>
  <c r="AA71" i="59"/>
  <c r="U71" i="59" s="1"/>
  <c r="AB71" i="59" s="1"/>
  <c r="Q8" i="59"/>
  <c r="AA69" i="59"/>
  <c r="Q8" i="52"/>
  <c r="AA209" i="52"/>
  <c r="AA211" i="52"/>
  <c r="AF109" i="63"/>
  <c r="AJ102" i="63"/>
  <c r="AK102" i="63" s="1"/>
  <c r="AJ100" i="63"/>
  <c r="AK100" i="63" s="1"/>
  <c r="AJ98" i="63"/>
  <c r="AK98" i="63" s="1"/>
  <c r="AJ101" i="63"/>
  <c r="AK101" i="63" s="1"/>
  <c r="AJ99" i="63"/>
  <c r="AK99" i="63" s="1"/>
  <c r="S114" i="3"/>
  <c r="T114" i="3" s="1"/>
  <c r="U114" i="3" s="1"/>
  <c r="V114" i="3" s="1"/>
  <c r="AA47" i="62"/>
  <c r="U47" i="62" s="1"/>
  <c r="AB47" i="62" s="1"/>
  <c r="Z15" i="56"/>
  <c r="W15" i="56"/>
  <c r="B82" i="3"/>
  <c r="C82" i="3" s="1"/>
  <c r="AA19" i="59"/>
  <c r="U19" i="59" s="1"/>
  <c r="AB19" i="59" s="1"/>
  <c r="AA61" i="55"/>
  <c r="U61" i="55" s="1"/>
  <c r="AB61" i="55" s="1"/>
  <c r="B78" i="3"/>
  <c r="C78" i="3" s="1"/>
  <c r="B83" i="3"/>
  <c r="C83" i="3" s="1"/>
  <c r="B79" i="63"/>
  <c r="C79" i="63" s="1"/>
  <c r="B80" i="3"/>
  <c r="U31" i="55"/>
  <c r="AB31" i="55" s="1"/>
  <c r="U30" i="55" s="1"/>
  <c r="P106" i="3"/>
  <c r="S122" i="63"/>
  <c r="T122" i="63" s="1"/>
  <c r="P117" i="63"/>
  <c r="Y52" i="63"/>
  <c r="Y54" i="63"/>
  <c r="Y53" i="63"/>
  <c r="R50" i="63"/>
  <c r="T50" i="63" s="1"/>
  <c r="P120" i="63"/>
  <c r="P121" i="63"/>
  <c r="Q17" i="3"/>
  <c r="Q26" i="3" s="1"/>
  <c r="Y11" i="2"/>
  <c r="T11" i="2" s="1"/>
  <c r="Q11" i="2" s="1"/>
  <c r="P118" i="63"/>
  <c r="Y26" i="62"/>
  <c r="W26" i="62" s="1"/>
  <c r="S116" i="3"/>
  <c r="T116" i="3" s="1"/>
  <c r="U116" i="3" s="1"/>
  <c r="P115" i="3"/>
  <c r="Z52" i="3"/>
  <c r="Z43" i="3" s="1"/>
  <c r="Z39" i="3" s="1"/>
  <c r="S115" i="3"/>
  <c r="T115" i="3" s="1"/>
  <c r="U115" i="3" s="1"/>
  <c r="Y36" i="55"/>
  <c r="B81" i="63"/>
  <c r="C81" i="63" s="1"/>
  <c r="P114" i="3"/>
  <c r="B82" i="63"/>
  <c r="C82" i="63" s="1"/>
  <c r="B83" i="63"/>
  <c r="C83" i="63" s="1"/>
  <c r="P109" i="63"/>
  <c r="Q109" i="63" s="1"/>
  <c r="C80" i="3"/>
  <c r="D79" i="3" s="1"/>
  <c r="R113" i="3"/>
  <c r="Y50" i="3" s="1"/>
  <c r="P113" i="3"/>
  <c r="Q106" i="3"/>
  <c r="Y34" i="61"/>
  <c r="Y48" i="61"/>
  <c r="U48" i="61"/>
  <c r="U66" i="52"/>
  <c r="W72" i="52"/>
  <c r="U36" i="55"/>
  <c r="U12" i="59"/>
  <c r="W48" i="58"/>
  <c r="AC19" i="59"/>
  <c r="U20" i="62"/>
  <c r="U38" i="58"/>
  <c r="W58" i="53"/>
  <c r="Y38" i="58"/>
  <c r="W84" i="52"/>
  <c r="Y22" i="56"/>
  <c r="Y72" i="52"/>
  <c r="U46" i="58"/>
  <c r="W26" i="58"/>
  <c r="AC21" i="55"/>
  <c r="U20" i="55" s="1"/>
  <c r="Y16" i="55"/>
  <c r="W16" i="55" s="1"/>
  <c r="U38" i="56"/>
  <c r="Y66" i="52"/>
  <c r="W56" i="61"/>
  <c r="W36" i="62"/>
  <c r="R117" i="3"/>
  <c r="R118" i="3"/>
  <c r="R121" i="3"/>
  <c r="R120" i="3"/>
  <c r="O34" i="63"/>
  <c r="U40" i="56"/>
  <c r="Y30" i="55"/>
  <c r="W30" i="55" s="1"/>
  <c r="U44" i="62"/>
  <c r="Y50" i="63"/>
  <c r="AK103" i="63"/>
  <c r="AK104" i="63" s="1"/>
  <c r="W86" i="53"/>
  <c r="W72" i="53"/>
  <c r="U92" i="52"/>
  <c r="W24" i="56"/>
  <c r="Y20" i="61"/>
  <c r="U44" i="52"/>
  <c r="AC19" i="62"/>
  <c r="U18" i="62" s="1"/>
  <c r="AC31" i="52"/>
  <c r="U30" i="52" s="1"/>
  <c r="AC27" i="61"/>
  <c r="U26" i="61" s="1"/>
  <c r="U14" i="62"/>
  <c r="U20" i="61"/>
  <c r="Y16" i="58"/>
  <c r="Y26" i="52"/>
  <c r="W26" i="52" s="1"/>
  <c r="W46" i="55"/>
  <c r="Y44" i="52"/>
  <c r="Y84" i="52"/>
  <c r="Y56" i="52"/>
  <c r="Y86" i="53"/>
  <c r="W22" i="56"/>
  <c r="U22" i="56"/>
  <c r="Y58" i="53"/>
  <c r="U71" i="50"/>
  <c r="AA71" i="50" s="1"/>
  <c r="U69" i="59"/>
  <c r="AB69" i="59" s="1"/>
  <c r="U26" i="59"/>
  <c r="U12" i="56"/>
  <c r="Y14" i="56"/>
  <c r="U12" i="53"/>
  <c r="Y40" i="53"/>
  <c r="W40" i="53" s="1"/>
  <c r="U66" i="50"/>
  <c r="U69" i="50"/>
  <c r="AA69" i="50" s="1"/>
  <c r="U211" i="52"/>
  <c r="AB211" i="52" s="1"/>
  <c r="U209" i="52"/>
  <c r="AB209" i="52" s="1"/>
  <c r="AA5" i="62"/>
  <c r="AA6" i="58"/>
  <c r="AA6" i="61"/>
  <c r="AA6" i="53"/>
  <c r="Z5" i="50"/>
  <c r="AA6" i="56"/>
  <c r="AA141" i="53" l="1"/>
  <c r="U141" i="53" s="1"/>
  <c r="AB141" i="53" s="1"/>
  <c r="AA139" i="53"/>
  <c r="U139" i="53" s="1"/>
  <c r="AB139" i="53" s="1"/>
  <c r="Q8" i="53"/>
  <c r="AA71" i="61"/>
  <c r="U71" i="61" s="1"/>
  <c r="AB71" i="61" s="1"/>
  <c r="Q8" i="61"/>
  <c r="AA69" i="61"/>
  <c r="U69" i="61" s="1"/>
  <c r="AB69" i="61" s="1"/>
  <c r="AA69" i="58"/>
  <c r="U69" i="58" s="1"/>
  <c r="AB69" i="58" s="1"/>
  <c r="Q8" i="58"/>
  <c r="AA71" i="58"/>
  <c r="U71" i="58" s="1"/>
  <c r="AB71" i="58" s="1"/>
  <c r="AF32" i="3"/>
  <c r="AG32" i="3" s="1"/>
  <c r="AH35" i="3" s="1"/>
  <c r="AB43" i="3"/>
  <c r="AG37" i="3" s="1"/>
  <c r="AF35" i="3"/>
  <c r="AG35" i="3" s="1"/>
  <c r="AF34" i="3"/>
  <c r="AG34" i="3" s="1"/>
  <c r="AF36" i="3"/>
  <c r="AG36" i="3" s="1"/>
  <c r="AH36" i="3" s="1"/>
  <c r="AF33" i="3"/>
  <c r="AG33" i="3" s="1"/>
  <c r="AF95" i="3"/>
  <c r="AG95" i="3" s="1"/>
  <c r="AF98" i="3"/>
  <c r="AG98" i="3" s="1"/>
  <c r="AF97" i="3"/>
  <c r="AG97" i="3" s="1"/>
  <c r="AH98" i="3" s="1"/>
  <c r="AB106" i="3"/>
  <c r="AF99" i="3"/>
  <c r="AG99" i="3" s="1"/>
  <c r="AF96" i="3"/>
  <c r="AG96" i="3" s="1"/>
  <c r="AA107" i="52"/>
  <c r="AA45" i="53"/>
  <c r="U41" i="53"/>
  <c r="AB41" i="53" s="1"/>
  <c r="AA41" i="61"/>
  <c r="U41" i="61" s="1"/>
  <c r="AB41" i="61" s="1"/>
  <c r="AA59" i="61"/>
  <c r="U59" i="61" s="1"/>
  <c r="AB59" i="61" s="1"/>
  <c r="U35" i="61"/>
  <c r="AB35" i="61" s="1"/>
  <c r="W34" i="61" s="1"/>
  <c r="AA23" i="58"/>
  <c r="U23" i="58" s="1"/>
  <c r="AB23" i="58" s="1"/>
  <c r="AA33" i="58"/>
  <c r="U33" i="58" s="1"/>
  <c r="AB33" i="58" s="1"/>
  <c r="U17" i="58"/>
  <c r="AB17" i="58" s="1"/>
  <c r="W16" i="58" s="1"/>
  <c r="B84" i="3"/>
  <c r="D85" i="3" s="1"/>
  <c r="AA65" i="61"/>
  <c r="U65" i="61" s="1"/>
  <c r="AB65" i="61" s="1"/>
  <c r="S112" i="3"/>
  <c r="T112" i="3" s="1"/>
  <c r="AF34" i="63"/>
  <c r="AG34" i="63" s="1"/>
  <c r="AF35" i="63"/>
  <c r="AG35" i="63" s="1"/>
  <c r="AH35" i="63" s="1"/>
  <c r="AF33" i="63"/>
  <c r="AG33" i="63" s="1"/>
  <c r="AF36" i="63"/>
  <c r="AG36" i="63" s="1"/>
  <c r="AF37" i="63"/>
  <c r="AG37" i="63" s="1"/>
  <c r="O34" i="3"/>
  <c r="O43" i="3" s="1"/>
  <c r="V17" i="3"/>
  <c r="V26" i="3" s="1"/>
  <c r="U18" i="59"/>
  <c r="AA71" i="56"/>
  <c r="U71" i="56" s="1"/>
  <c r="AB71" i="56" s="1"/>
  <c r="Q8" i="56"/>
  <c r="AA69" i="56"/>
  <c r="U69" i="56" s="1"/>
  <c r="AB69" i="56" s="1"/>
  <c r="AL98" i="63"/>
  <c r="AA99" i="55"/>
  <c r="U99" i="55" s="1"/>
  <c r="AB99" i="55" s="1"/>
  <c r="W14" i="56"/>
  <c r="AA19" i="56"/>
  <c r="U19" i="56" s="1"/>
  <c r="AB19" i="56" s="1"/>
  <c r="U15" i="56"/>
  <c r="AB15" i="56" s="1"/>
  <c r="AA25" i="59"/>
  <c r="U25" i="59" s="1"/>
  <c r="AB25" i="59" s="1"/>
  <c r="Z54" i="63"/>
  <c r="S121" i="63"/>
  <c r="T121" i="63" s="1"/>
  <c r="Z52" i="63"/>
  <c r="S119" i="63"/>
  <c r="T119" i="63" s="1"/>
  <c r="Z53" i="63"/>
  <c r="Z44" i="63" s="1"/>
  <c r="Z40" i="63" s="1"/>
  <c r="S120" i="63"/>
  <c r="T120" i="63" s="1"/>
  <c r="U122" i="63"/>
  <c r="V122" i="63" s="1"/>
  <c r="Y51" i="63"/>
  <c r="S118" i="63" s="1"/>
  <c r="T118" i="63" s="1"/>
  <c r="V115" i="3"/>
  <c r="V116" i="3"/>
  <c r="D84" i="63"/>
  <c r="D83" i="63"/>
  <c r="D80" i="63"/>
  <c r="D81" i="63"/>
  <c r="D79" i="63"/>
  <c r="B85" i="63"/>
  <c r="B86" i="63" s="1"/>
  <c r="C86" i="63" s="1"/>
  <c r="D82" i="63"/>
  <c r="AH97" i="3"/>
  <c r="AH34" i="3"/>
  <c r="AH96" i="3"/>
  <c r="AH33" i="3"/>
  <c r="Q131" i="3"/>
  <c r="S131" i="3" s="1"/>
  <c r="R106" i="3" s="1"/>
  <c r="P131" i="3"/>
  <c r="Z50" i="3"/>
  <c r="S113" i="3"/>
  <c r="T113" i="3" s="1"/>
  <c r="U113" i="3" s="1"/>
  <c r="V113" i="3" s="1"/>
  <c r="AG100" i="3"/>
  <c r="D80" i="3"/>
  <c r="D78" i="3"/>
  <c r="D83" i="3"/>
  <c r="D81" i="3"/>
  <c r="D82" i="3"/>
  <c r="AC25" i="59"/>
  <c r="P147" i="63"/>
  <c r="Q147" i="63"/>
  <c r="S147" i="63" s="1"/>
  <c r="AC41" i="55"/>
  <c r="AC61" i="55" s="1"/>
  <c r="U60" i="55" s="1"/>
  <c r="Y58" i="3"/>
  <c r="Z58" i="3" s="1"/>
  <c r="Y54" i="3"/>
  <c r="Z54" i="3" s="1"/>
  <c r="Q34" i="3"/>
  <c r="V17" i="63"/>
  <c r="Y57" i="3"/>
  <c r="Y55" i="3"/>
  <c r="Z55" i="3" s="1"/>
  <c r="S117" i="63"/>
  <c r="T117" i="63" s="1"/>
  <c r="U117" i="63" s="1"/>
  <c r="V117" i="63" s="1"/>
  <c r="Z50" i="63"/>
  <c r="AL102" i="63"/>
  <c r="AF102" i="63" s="1"/>
  <c r="AH102" i="63" s="1"/>
  <c r="AL104" i="63"/>
  <c r="AF98" i="63"/>
  <c r="AH98" i="63" s="1"/>
  <c r="AL100" i="63"/>
  <c r="AF100" i="63" s="1"/>
  <c r="AH100" i="63" s="1"/>
  <c r="AL99" i="63"/>
  <c r="AF99" i="63" s="1"/>
  <c r="AH99" i="63" s="1"/>
  <c r="AL101" i="63"/>
  <c r="AF101" i="63" s="1"/>
  <c r="AH101" i="63" s="1"/>
  <c r="AC89" i="52"/>
  <c r="U88" i="52" s="1"/>
  <c r="AC31" i="62"/>
  <c r="U30" i="62" s="1"/>
  <c r="AB71" i="50"/>
  <c r="U70" i="50" s="1"/>
  <c r="Z29" i="2"/>
  <c r="AB69" i="50"/>
  <c r="U68" i="50" s="1"/>
  <c r="Q7" i="50"/>
  <c r="AC69" i="62"/>
  <c r="U68" i="62" s="1"/>
  <c r="AC71" i="62"/>
  <c r="U70" i="62" s="1"/>
  <c r="Q7" i="62"/>
  <c r="AA5" i="61"/>
  <c r="AA5" i="59"/>
  <c r="AA5" i="55"/>
  <c r="AC41" i="61" l="1"/>
  <c r="U40" i="61" s="1"/>
  <c r="AC69" i="61"/>
  <c r="U68" i="61" s="1"/>
  <c r="AC71" i="61"/>
  <c r="U70" i="61" s="1"/>
  <c r="Q7" i="61"/>
  <c r="AH34" i="63"/>
  <c r="AH32" i="3"/>
  <c r="AH36" i="63"/>
  <c r="U112" i="3"/>
  <c r="V112" i="3"/>
  <c r="U40" i="53"/>
  <c r="AC45" i="53"/>
  <c r="AG38" i="63"/>
  <c r="U107" i="52"/>
  <c r="AB107" i="52" s="1"/>
  <c r="AA123" i="52"/>
  <c r="U123" i="52" s="1"/>
  <c r="AB123" i="52" s="1"/>
  <c r="AH37" i="63"/>
  <c r="AH99" i="3"/>
  <c r="AH95" i="3"/>
  <c r="B85" i="3"/>
  <c r="C85" i="3" s="1"/>
  <c r="AH33" i="63"/>
  <c r="AA45" i="58"/>
  <c r="U45" i="58" s="1"/>
  <c r="AB45" i="58" s="1"/>
  <c r="U16" i="58"/>
  <c r="AC23" i="58"/>
  <c r="U34" i="61"/>
  <c r="U45" i="53"/>
  <c r="AB45" i="53" s="1"/>
  <c r="AA63" i="53"/>
  <c r="N18" i="68"/>
  <c r="N26" i="68"/>
  <c r="AC69" i="59"/>
  <c r="U68" i="59" s="1"/>
  <c r="N22" i="68"/>
  <c r="N28" i="68"/>
  <c r="Q7" i="59"/>
  <c r="N24" i="68"/>
  <c r="N20" i="68"/>
  <c r="AC71" i="59"/>
  <c r="U70" i="59" s="1"/>
  <c r="Q7" i="55"/>
  <c r="AC139" i="55"/>
  <c r="U138" i="55" s="1"/>
  <c r="AC141" i="55"/>
  <c r="U140" i="55" s="1"/>
  <c r="U24" i="59"/>
  <c r="AA33" i="56"/>
  <c r="U33" i="56" s="1"/>
  <c r="AB33" i="56" s="1"/>
  <c r="AA27" i="56"/>
  <c r="U27" i="56" s="1"/>
  <c r="AB27" i="56" s="1"/>
  <c r="U14" i="56"/>
  <c r="AC19" i="56"/>
  <c r="U18" i="56" s="1"/>
  <c r="U119" i="63"/>
  <c r="V119" i="63" s="1"/>
  <c r="U120" i="63"/>
  <c r="V120" i="63" s="1"/>
  <c r="U121" i="63"/>
  <c r="V121" i="63" s="1"/>
  <c r="U118" i="63"/>
  <c r="V118" i="63" s="1"/>
  <c r="Z51" i="63"/>
  <c r="Q27" i="63"/>
  <c r="V18" i="63"/>
  <c r="V27" i="63" s="1"/>
  <c r="O35" i="63"/>
  <c r="D86" i="63"/>
  <c r="AH101" i="3"/>
  <c r="AG101" i="3"/>
  <c r="AB97" i="3" s="1"/>
  <c r="AD97" i="3" s="1"/>
  <c r="F78" i="3"/>
  <c r="G78" i="3" s="1"/>
  <c r="F80" i="3"/>
  <c r="G80" i="3" s="1"/>
  <c r="F83" i="3"/>
  <c r="G83" i="3" s="1"/>
  <c r="F81" i="3"/>
  <c r="G81" i="3" s="1"/>
  <c r="F82" i="3"/>
  <c r="G82" i="3" s="1"/>
  <c r="F79" i="3"/>
  <c r="G79" i="3" s="1"/>
  <c r="AH38" i="3"/>
  <c r="AG38" i="3"/>
  <c r="AB35" i="3" s="1"/>
  <c r="AD35" i="3" s="1"/>
  <c r="V106" i="3"/>
  <c r="O123" i="3" s="1"/>
  <c r="U44" i="63"/>
  <c r="R109" i="63"/>
  <c r="V109" i="63" s="1"/>
  <c r="O139" i="63" s="1"/>
  <c r="P149" i="63" s="1"/>
  <c r="Q149" i="63" s="1"/>
  <c r="S149" i="63" s="1"/>
  <c r="P139" i="63" s="1"/>
  <c r="F83" i="63"/>
  <c r="G83" i="63" s="1"/>
  <c r="F79" i="63"/>
  <c r="F81" i="63"/>
  <c r="G81" i="63" s="1"/>
  <c r="F82" i="63"/>
  <c r="G82" i="63" s="1"/>
  <c r="F80" i="63"/>
  <c r="G80" i="63" s="1"/>
  <c r="F84" i="63"/>
  <c r="G84" i="63" s="1"/>
  <c r="AC107" i="52"/>
  <c r="U40" i="55"/>
  <c r="AC99" i="55"/>
  <c r="U98" i="55" s="1"/>
  <c r="P66" i="3"/>
  <c r="Q43" i="3"/>
  <c r="S52" i="3"/>
  <c r="T52" i="3" s="1"/>
  <c r="S120" i="3"/>
  <c r="T120" i="3" s="1"/>
  <c r="O44" i="63"/>
  <c r="Q67" i="63" s="1"/>
  <c r="S67" i="63" s="1"/>
  <c r="S50" i="3"/>
  <c r="T50" i="3" s="1"/>
  <c r="S118" i="3"/>
  <c r="T118" i="3" s="1"/>
  <c r="Z57" i="3"/>
  <c r="S49" i="3"/>
  <c r="T49" i="3" s="1"/>
  <c r="S117" i="3"/>
  <c r="T117" i="3" s="1"/>
  <c r="S53" i="3"/>
  <c r="T53" i="3" s="1"/>
  <c r="S121" i="3"/>
  <c r="T121" i="3" s="1"/>
  <c r="AH109" i="63"/>
  <c r="AB147" i="63" s="1"/>
  <c r="AC59" i="61"/>
  <c r="AC65" i="61" s="1"/>
  <c r="U64" i="61" s="1"/>
  <c r="AC47" i="62"/>
  <c r="W46" i="62" s="1"/>
  <c r="AA5" i="56"/>
  <c r="AC63" i="53" l="1"/>
  <c r="U63" i="53"/>
  <c r="AB63" i="53" s="1"/>
  <c r="AA93" i="53"/>
  <c r="U93" i="53" s="1"/>
  <c r="AB93" i="53" s="1"/>
  <c r="AA143" i="52"/>
  <c r="U143" i="52" s="1"/>
  <c r="AB143" i="52" s="1"/>
  <c r="U106" i="52"/>
  <c r="AH39" i="63"/>
  <c r="AG39" i="63"/>
  <c r="AA57" i="58"/>
  <c r="AA169" i="52"/>
  <c r="U169" i="52" s="1"/>
  <c r="AB169" i="52" s="1"/>
  <c r="AC33" i="58"/>
  <c r="U32" i="58" s="1"/>
  <c r="U22" i="58"/>
  <c r="AA161" i="52"/>
  <c r="U161" i="52" s="1"/>
  <c r="AB161" i="52" s="1"/>
  <c r="U44" i="53"/>
  <c r="AC45" i="58"/>
  <c r="AC57" i="58" s="1"/>
  <c r="AC69" i="56"/>
  <c r="U68" i="56" s="1"/>
  <c r="Q7" i="56"/>
  <c r="N30" i="68"/>
  <c r="AC71" i="56"/>
  <c r="U70" i="56" s="1"/>
  <c r="AC27" i="56"/>
  <c r="B91" i="63"/>
  <c r="C91" i="63" s="1"/>
  <c r="B95" i="63"/>
  <c r="C95" i="63" s="1"/>
  <c r="B96" i="63"/>
  <c r="C96" i="63" s="1"/>
  <c r="H81" i="3"/>
  <c r="AB34" i="3"/>
  <c r="AD34" i="3" s="1"/>
  <c r="H83" i="3"/>
  <c r="H82" i="3"/>
  <c r="H78" i="3"/>
  <c r="P133" i="3"/>
  <c r="Q133" i="3" s="1"/>
  <c r="S133" i="3" s="1"/>
  <c r="AB32" i="3"/>
  <c r="AD32" i="3" s="1"/>
  <c r="AB33" i="3"/>
  <c r="AD33" i="3" s="1"/>
  <c r="AB96" i="3"/>
  <c r="AD96" i="3" s="1"/>
  <c r="AB36" i="3"/>
  <c r="AD36" i="3" s="1"/>
  <c r="F84" i="3"/>
  <c r="AB95" i="3"/>
  <c r="AD95" i="3" s="1"/>
  <c r="H79" i="3"/>
  <c r="AB99" i="3"/>
  <c r="AD99" i="3" s="1"/>
  <c r="AB98" i="3"/>
  <c r="AD98" i="3" s="1"/>
  <c r="H80" i="3"/>
  <c r="J79" i="63"/>
  <c r="J83" i="63"/>
  <c r="K83" i="63" s="1"/>
  <c r="AC123" i="52"/>
  <c r="U122" i="52" s="1"/>
  <c r="J82" i="63"/>
  <c r="K82" i="63" s="1"/>
  <c r="J84" i="63"/>
  <c r="K84" i="63" s="1"/>
  <c r="J80" i="63"/>
  <c r="K80" i="63" s="1"/>
  <c r="R139" i="63"/>
  <c r="J81" i="63"/>
  <c r="K81" i="63" s="1"/>
  <c r="G79" i="63"/>
  <c r="H79" i="63" s="1"/>
  <c r="F85" i="63"/>
  <c r="U50" i="3"/>
  <c r="V50" i="3" s="1"/>
  <c r="U52" i="3"/>
  <c r="V52" i="3" s="1"/>
  <c r="U121" i="3"/>
  <c r="V121" i="3" s="1"/>
  <c r="U49" i="3"/>
  <c r="V49" i="3" s="1"/>
  <c r="Q68" i="3"/>
  <c r="S68" i="3" s="1"/>
  <c r="R43" i="3" s="1"/>
  <c r="P68" i="3"/>
  <c r="P67" i="63"/>
  <c r="U53" i="3"/>
  <c r="V53" i="3" s="1"/>
  <c r="U117" i="3"/>
  <c r="U118" i="3"/>
  <c r="V118" i="3" s="1"/>
  <c r="U120" i="3"/>
  <c r="V120" i="3" s="1"/>
  <c r="K79" i="63"/>
  <c r="AC147" i="63"/>
  <c r="AE147" i="63" s="1"/>
  <c r="U58" i="61"/>
  <c r="W58" i="61"/>
  <c r="U46" i="62"/>
  <c r="AA5" i="52"/>
  <c r="N14" i="68" l="1"/>
  <c r="Q7" i="52"/>
  <c r="AC211" i="52"/>
  <c r="U210" i="52" s="1"/>
  <c r="AC209" i="52"/>
  <c r="U208" i="52" s="1"/>
  <c r="U44" i="58"/>
  <c r="U62" i="53"/>
  <c r="U57" i="58"/>
  <c r="AB57" i="58" s="1"/>
  <c r="U56" i="58"/>
  <c r="AA65" i="58"/>
  <c r="AB33" i="63"/>
  <c r="AD33" i="63" s="1"/>
  <c r="AB36" i="63"/>
  <c r="AD36" i="63" s="1"/>
  <c r="AF53" i="63" s="1"/>
  <c r="AG53" i="63" s="1"/>
  <c r="AB37" i="63"/>
  <c r="AD37" i="63" s="1"/>
  <c r="AF54" i="63" s="1"/>
  <c r="AG54" i="63" s="1"/>
  <c r="AB35" i="63"/>
  <c r="AD35" i="63" s="1"/>
  <c r="AC93" i="53"/>
  <c r="AA107" i="53"/>
  <c r="U107" i="53" s="1"/>
  <c r="AB107" i="53" s="1"/>
  <c r="AB34" i="63"/>
  <c r="AD34" i="63" s="1"/>
  <c r="AD44" i="63" s="1"/>
  <c r="AB71" i="63" s="1"/>
  <c r="AC71" i="63" s="1"/>
  <c r="AE71" i="63" s="1"/>
  <c r="AF51" i="63" s="1"/>
  <c r="AG51" i="63" s="1"/>
  <c r="Z11" i="2"/>
  <c r="Z25" i="2" s="1"/>
  <c r="Y10" i="1" s="1"/>
  <c r="H13" i="68"/>
  <c r="AC33" i="56"/>
  <c r="U32" i="56" s="1"/>
  <c r="W26" i="56"/>
  <c r="U26" i="56"/>
  <c r="C3" i="74"/>
  <c r="P151" i="63"/>
  <c r="Q151" i="63" s="1"/>
  <c r="V147" i="63" s="1"/>
  <c r="AD106" i="3"/>
  <c r="AB133" i="3" s="1"/>
  <c r="J83" i="3"/>
  <c r="K83" i="3" s="1"/>
  <c r="J80" i="3"/>
  <c r="J78" i="3"/>
  <c r="J81" i="3"/>
  <c r="K81" i="3" s="1"/>
  <c r="J82" i="3"/>
  <c r="K82" i="3" s="1"/>
  <c r="K80" i="3"/>
  <c r="J79" i="3"/>
  <c r="K79" i="3" s="1"/>
  <c r="AD43" i="3"/>
  <c r="AB70" i="3" s="1"/>
  <c r="P123" i="3"/>
  <c r="F85" i="3"/>
  <c r="G85" i="3" s="1"/>
  <c r="H85" i="3"/>
  <c r="AB61" i="63"/>
  <c r="AC143" i="52"/>
  <c r="U142" i="52" s="1"/>
  <c r="W122" i="52"/>
  <c r="L79" i="63"/>
  <c r="J85" i="63"/>
  <c r="J86" i="63" s="1"/>
  <c r="K86" i="63" s="1"/>
  <c r="H82" i="63"/>
  <c r="H84" i="63"/>
  <c r="H83" i="63"/>
  <c r="B94" i="63"/>
  <c r="C94" i="63" s="1"/>
  <c r="H86" i="63"/>
  <c r="F86" i="63"/>
  <c r="G86" i="63" s="1"/>
  <c r="H80" i="63"/>
  <c r="H81" i="63"/>
  <c r="V43" i="3"/>
  <c r="O60" i="3" s="1"/>
  <c r="V117" i="3"/>
  <c r="B89" i="3"/>
  <c r="C89" i="3" s="1"/>
  <c r="B92" i="3"/>
  <c r="C92" i="3" s="1"/>
  <c r="B90" i="3"/>
  <c r="C90" i="3" s="1"/>
  <c r="B93" i="3"/>
  <c r="C93" i="3" s="1"/>
  <c r="B91" i="3"/>
  <c r="C91" i="3" s="1"/>
  <c r="L83" i="63"/>
  <c r="L80" i="63"/>
  <c r="L81" i="63"/>
  <c r="L84" i="63"/>
  <c r="L82" i="63"/>
  <c r="AF121" i="63"/>
  <c r="AG121" i="63" s="1"/>
  <c r="AF117" i="63"/>
  <c r="AG117" i="63" s="1"/>
  <c r="AF120" i="63"/>
  <c r="AG120" i="63" s="1"/>
  <c r="AF118" i="63"/>
  <c r="AG118" i="63" s="1"/>
  <c r="AF119" i="63"/>
  <c r="AG119" i="63" s="1"/>
  <c r="AB139" i="63"/>
  <c r="AA5" i="53"/>
  <c r="Q7" i="53" l="1"/>
  <c r="AC141" i="53"/>
  <c r="U140" i="53" s="1"/>
  <c r="N16" i="68"/>
  <c r="AC139" i="53"/>
  <c r="U138" i="53" s="1"/>
  <c r="U92" i="53"/>
  <c r="AC107" i="53"/>
  <c r="U106" i="53" s="1"/>
  <c r="AF52" i="63"/>
  <c r="AG52" i="63" s="1"/>
  <c r="AH54" i="63" s="1"/>
  <c r="AC65" i="58"/>
  <c r="AF50" i="63"/>
  <c r="AG50" i="63" s="1"/>
  <c r="U65" i="58"/>
  <c r="AB65" i="58" s="1"/>
  <c r="T10" i="2"/>
  <c r="U147" i="63"/>
  <c r="J84" i="3"/>
  <c r="J85" i="3" s="1"/>
  <c r="K85" i="3" s="1"/>
  <c r="AH51" i="63"/>
  <c r="R123" i="3"/>
  <c r="P135" i="3" s="1"/>
  <c r="AC70" i="3"/>
  <c r="AE70" i="3" s="1"/>
  <c r="AB60" i="3" s="1"/>
  <c r="AC133" i="3"/>
  <c r="AE133" i="3" s="1"/>
  <c r="AB123" i="3" s="1"/>
  <c r="K78" i="3"/>
  <c r="L78" i="3" s="1"/>
  <c r="AH53" i="63"/>
  <c r="AH52" i="63"/>
  <c r="AH50" i="63"/>
  <c r="L86" i="63"/>
  <c r="AG55" i="63"/>
  <c r="AH56" i="63" s="1"/>
  <c r="AC161" i="52"/>
  <c r="U160" i="52" s="1"/>
  <c r="B90" i="63"/>
  <c r="B93" i="63"/>
  <c r="C93" i="63" s="1"/>
  <c r="P44" i="63"/>
  <c r="B92" i="63"/>
  <c r="C92" i="63" s="1"/>
  <c r="D92" i="3"/>
  <c r="D93" i="3"/>
  <c r="D90" i="3"/>
  <c r="P70" i="3"/>
  <c r="Q70" i="3"/>
  <c r="S70" i="3" s="1"/>
  <c r="B94" i="3"/>
  <c r="D91" i="3"/>
  <c r="D89" i="3"/>
  <c r="U151" i="63"/>
  <c r="S151" i="63"/>
  <c r="AG122" i="63"/>
  <c r="AG123" i="63" s="1"/>
  <c r="AH119" i="63"/>
  <c r="AH120" i="63"/>
  <c r="AH117" i="63"/>
  <c r="AH121" i="63"/>
  <c r="AH118" i="63"/>
  <c r="Y20" i="1"/>
  <c r="AA5" i="58"/>
  <c r="U64" i="58" l="1"/>
  <c r="AC69" i="58"/>
  <c r="U68" i="58" s="1"/>
  <c r="Q7" i="58"/>
  <c r="AC71" i="58"/>
  <c r="U70" i="58" s="1"/>
  <c r="H15" i="68"/>
  <c r="H35" i="68"/>
  <c r="D6" i="68" s="1"/>
  <c r="C90" i="63"/>
  <c r="D93" i="63" s="1"/>
  <c r="B97" i="63"/>
  <c r="B98" i="63" s="1"/>
  <c r="R44" i="63"/>
  <c r="S44" i="63" s="1"/>
  <c r="L85" i="3"/>
  <c r="L83" i="3"/>
  <c r="AF52" i="3"/>
  <c r="AG52" i="3" s="1"/>
  <c r="AF51" i="3"/>
  <c r="AG51" i="3" s="1"/>
  <c r="AF53" i="3"/>
  <c r="AG53" i="3" s="1"/>
  <c r="AF49" i="3"/>
  <c r="AG49" i="3" s="1"/>
  <c r="AF50" i="3"/>
  <c r="AG50" i="3" s="1"/>
  <c r="L82" i="3"/>
  <c r="L81" i="3"/>
  <c r="L80" i="3"/>
  <c r="L79" i="3"/>
  <c r="AF114" i="3"/>
  <c r="AG114" i="3" s="1"/>
  <c r="AF116" i="3"/>
  <c r="AG116" i="3" s="1"/>
  <c r="AF113" i="3"/>
  <c r="AG113" i="3" s="1"/>
  <c r="AF115" i="3"/>
  <c r="AG115" i="3" s="1"/>
  <c r="AF112" i="3"/>
  <c r="AG56" i="63"/>
  <c r="AB54" i="63" s="1"/>
  <c r="AC54" i="63" s="1"/>
  <c r="AC169" i="52"/>
  <c r="U168" i="52" s="1"/>
  <c r="F93" i="3"/>
  <c r="G93" i="3" s="1"/>
  <c r="F89" i="3"/>
  <c r="G89" i="3" s="1"/>
  <c r="F90" i="3"/>
  <c r="G90" i="3" s="1"/>
  <c r="F92" i="3"/>
  <c r="G92" i="3" s="1"/>
  <c r="D95" i="3"/>
  <c r="B95" i="3"/>
  <c r="P60" i="3"/>
  <c r="V151" i="63"/>
  <c r="B106" i="63"/>
  <c r="C106" i="63" s="1"/>
  <c r="B104" i="63"/>
  <c r="C104" i="63" s="1"/>
  <c r="B107" i="63"/>
  <c r="C107" i="63" s="1"/>
  <c r="B105" i="63"/>
  <c r="C105" i="63" s="1"/>
  <c r="B103" i="63"/>
  <c r="C103" i="63" s="1"/>
  <c r="S139" i="63"/>
  <c r="AB117" i="63"/>
  <c r="AC56" i="63" s="1"/>
  <c r="AB119" i="63"/>
  <c r="AC58" i="63" s="1"/>
  <c r="AB118" i="63"/>
  <c r="AC57" i="63" s="1"/>
  <c r="AB121" i="63"/>
  <c r="AH123" i="63"/>
  <c r="AB120" i="63"/>
  <c r="AC59" i="63" s="1"/>
  <c r="D92" i="63" l="1"/>
  <c r="Y15" i="2"/>
  <c r="P69" i="63"/>
  <c r="Q69" i="63"/>
  <c r="S69" i="63" s="1"/>
  <c r="F90" i="63" s="1"/>
  <c r="C98" i="63"/>
  <c r="D90" i="63"/>
  <c r="D96" i="63"/>
  <c r="P39" i="63" s="1"/>
  <c r="D91" i="63"/>
  <c r="D95" i="63"/>
  <c r="D94" i="63"/>
  <c r="AG117" i="3"/>
  <c r="AH118" i="3" s="1"/>
  <c r="AG54" i="3"/>
  <c r="AG55" i="3" s="1"/>
  <c r="AH50" i="3"/>
  <c r="AH53" i="3"/>
  <c r="AH52" i="3"/>
  <c r="AB53" i="63"/>
  <c r="AC53" i="63" s="1"/>
  <c r="AH49" i="3"/>
  <c r="AH51" i="3"/>
  <c r="AB50" i="63"/>
  <c r="AC50" i="63" s="1"/>
  <c r="AG112" i="3"/>
  <c r="AH112" i="3" s="1"/>
  <c r="AB51" i="63"/>
  <c r="AC51" i="63" s="1"/>
  <c r="AB52" i="63"/>
  <c r="AC52" i="63" s="1"/>
  <c r="C95" i="3"/>
  <c r="R34" i="3" s="1"/>
  <c r="V34" i="3" s="1"/>
  <c r="O51" i="3" s="1"/>
  <c r="AC55" i="63"/>
  <c r="P35" i="63" l="1"/>
  <c r="T44" i="63"/>
  <c r="Y17" i="2" s="1"/>
  <c r="G90" i="63"/>
  <c r="D98" i="63"/>
  <c r="P34" i="63"/>
  <c r="AH115" i="3"/>
  <c r="AB53" i="3"/>
  <c r="AC53" i="3" s="1"/>
  <c r="AB73" i="63"/>
  <c r="AC73" i="63" s="1"/>
  <c r="AE73" i="63" s="1"/>
  <c r="AH55" i="3"/>
  <c r="AB51" i="3"/>
  <c r="AC51" i="3" s="1"/>
  <c r="AB52" i="3"/>
  <c r="AC52" i="3" s="1"/>
  <c r="AB49" i="3"/>
  <c r="AC49" i="3" s="1"/>
  <c r="AB50" i="3"/>
  <c r="AC50" i="3" s="1"/>
  <c r="AG118" i="3"/>
  <c r="AB112" i="3" s="1"/>
  <c r="AC54" i="3" s="1"/>
  <c r="AH113" i="3"/>
  <c r="AH114" i="3"/>
  <c r="AH116" i="3"/>
  <c r="F91" i="3"/>
  <c r="F94" i="3" s="1"/>
  <c r="AC61" i="63"/>
  <c r="P38" i="63" l="1"/>
  <c r="R38" i="63" s="1"/>
  <c r="S38" i="63" s="1"/>
  <c r="P37" i="63"/>
  <c r="R37" i="63" s="1"/>
  <c r="S37" i="63" s="1"/>
  <c r="F94" i="63" s="1"/>
  <c r="G94" i="63" s="1"/>
  <c r="R39" i="63"/>
  <c r="S39" i="63" s="1"/>
  <c r="R35" i="63"/>
  <c r="S35" i="63" s="1"/>
  <c r="R34" i="63"/>
  <c r="P36" i="63"/>
  <c r="R36" i="63" s="1"/>
  <c r="S36" i="63" s="1"/>
  <c r="F93" i="63" s="1"/>
  <c r="G93" i="63" s="1"/>
  <c r="AC55" i="3"/>
  <c r="AB116" i="3"/>
  <c r="AB113" i="3"/>
  <c r="AC56" i="3" s="1"/>
  <c r="AB114" i="3"/>
  <c r="AC57" i="3" s="1"/>
  <c r="AB115" i="3"/>
  <c r="AC58" i="3" s="1"/>
  <c r="G91" i="3"/>
  <c r="F95" i="3"/>
  <c r="H95" i="3"/>
  <c r="AF66" i="63"/>
  <c r="AG66" i="63" s="1"/>
  <c r="AF62" i="63"/>
  <c r="AG62" i="63" s="1"/>
  <c r="AF65" i="63"/>
  <c r="AG65" i="63" s="1"/>
  <c r="AF64" i="63"/>
  <c r="AG64" i="63" s="1"/>
  <c r="AF63" i="63"/>
  <c r="AG63" i="63" s="1"/>
  <c r="AF69" i="63"/>
  <c r="AG69" i="63" s="1"/>
  <c r="AF71" i="63"/>
  <c r="AG71" i="63" s="1"/>
  <c r="AF70" i="63"/>
  <c r="AG70" i="63" s="1"/>
  <c r="AF67" i="63"/>
  <c r="AG67" i="63" s="1"/>
  <c r="AF68" i="63"/>
  <c r="AG68" i="63" s="1"/>
  <c r="AD61" i="63"/>
  <c r="F92" i="63" l="1"/>
  <c r="G92" i="63" s="1"/>
  <c r="F95" i="63"/>
  <c r="G95" i="63" s="1"/>
  <c r="F96" i="63"/>
  <c r="G96" i="63" s="1"/>
  <c r="S34" i="63"/>
  <c r="AB72" i="3"/>
  <c r="AC72" i="3" s="1"/>
  <c r="AE72" i="3" s="1"/>
  <c r="AC60" i="3"/>
  <c r="G95" i="3"/>
  <c r="H91" i="3"/>
  <c r="H90" i="3"/>
  <c r="H89" i="3"/>
  <c r="H92" i="3"/>
  <c r="H93" i="3"/>
  <c r="AH64" i="63"/>
  <c r="AH62" i="63"/>
  <c r="AH67" i="63"/>
  <c r="AH69" i="63"/>
  <c r="AH68" i="63"/>
  <c r="AH71" i="63"/>
  <c r="AH70" i="63"/>
  <c r="AH65" i="63"/>
  <c r="AH66" i="63"/>
  <c r="AG72" i="63"/>
  <c r="AE61" i="63"/>
  <c r="AH63" i="63"/>
  <c r="F91" i="63" l="1"/>
  <c r="G91" i="63" s="1"/>
  <c r="H90" i="63" s="1"/>
  <c r="T14" i="2"/>
  <c r="T15" i="2"/>
  <c r="Q15" i="2" s="1"/>
  <c r="AF65" i="3"/>
  <c r="AG65" i="3" s="1"/>
  <c r="AF63" i="3"/>
  <c r="AG63" i="3" s="1"/>
  <c r="AF61" i="3"/>
  <c r="AG61" i="3" s="1"/>
  <c r="AF68" i="3"/>
  <c r="AG68" i="3" s="1"/>
  <c r="AF70" i="3"/>
  <c r="AG70" i="3" s="1"/>
  <c r="AF62" i="3"/>
  <c r="AG62" i="3" s="1"/>
  <c r="AF64" i="3"/>
  <c r="AG64" i="3" s="1"/>
  <c r="AF69" i="3"/>
  <c r="AG69" i="3" s="1"/>
  <c r="AF67" i="3"/>
  <c r="AG67" i="3" s="1"/>
  <c r="AF66" i="3"/>
  <c r="AG66" i="3" s="1"/>
  <c r="AD60" i="3"/>
  <c r="P51" i="3"/>
  <c r="R51" i="3" s="1"/>
  <c r="R119" i="3" s="1"/>
  <c r="AG73" i="63"/>
  <c r="AD53" i="63" s="1"/>
  <c r="AE53" i="63" s="1"/>
  <c r="AH73" i="63"/>
  <c r="F97" i="63" l="1"/>
  <c r="F98" i="63" s="1"/>
  <c r="H91" i="63"/>
  <c r="H92" i="63"/>
  <c r="H93" i="63"/>
  <c r="H95" i="63"/>
  <c r="H94" i="63"/>
  <c r="H96" i="63"/>
  <c r="AH67" i="3"/>
  <c r="AH66" i="3"/>
  <c r="AH64" i="3"/>
  <c r="AH69" i="3"/>
  <c r="AH68" i="3"/>
  <c r="AH63" i="3"/>
  <c r="AH62" i="3"/>
  <c r="AH70" i="3"/>
  <c r="AG71" i="3"/>
  <c r="AE60" i="3"/>
  <c r="AH61" i="3"/>
  <c r="AH65" i="3"/>
  <c r="R60" i="3"/>
  <c r="P72" i="3" s="1"/>
  <c r="AD55" i="63"/>
  <c r="AE55" i="63" s="1"/>
  <c r="AD54" i="63"/>
  <c r="AE54" i="63" s="1"/>
  <c r="AD51" i="63"/>
  <c r="AE51" i="63" s="1"/>
  <c r="AD50" i="63"/>
  <c r="AE50" i="63" s="1"/>
  <c r="AD59" i="63"/>
  <c r="AE59" i="63" s="1"/>
  <c r="AD58" i="63"/>
  <c r="AE58" i="63" s="1"/>
  <c r="AD52" i="63"/>
  <c r="AE52" i="63" s="1"/>
  <c r="AD56" i="63"/>
  <c r="AE56" i="63" s="1"/>
  <c r="AD57" i="63"/>
  <c r="AE57" i="63" s="1"/>
  <c r="G98" i="63" l="1"/>
  <c r="H98" i="63" s="1"/>
  <c r="T39" i="63"/>
  <c r="T36" i="63"/>
  <c r="T16" i="2"/>
  <c r="T17" i="2"/>
  <c r="Q17" i="2" s="1"/>
  <c r="AG72" i="3"/>
  <c r="AD55" i="3" s="1"/>
  <c r="AE55" i="3" s="1"/>
  <c r="AH72" i="3"/>
  <c r="Q135" i="3"/>
  <c r="Q72" i="3"/>
  <c r="V68" i="3" s="1"/>
  <c r="T35" i="63" l="1"/>
  <c r="T38" i="63"/>
  <c r="T34" i="63"/>
  <c r="T37" i="63"/>
  <c r="AD54" i="3"/>
  <c r="AE54" i="3" s="1"/>
  <c r="AD51" i="3"/>
  <c r="AE51" i="3" s="1"/>
  <c r="AD56" i="3"/>
  <c r="AE56" i="3" s="1"/>
  <c r="AD52" i="3"/>
  <c r="AE52" i="3" s="1"/>
  <c r="AD50" i="3"/>
  <c r="AE50" i="3" s="1"/>
  <c r="AD58" i="3"/>
  <c r="AE58" i="3" s="1"/>
  <c r="AD57" i="3"/>
  <c r="AE57" i="3" s="1"/>
  <c r="AD53" i="3"/>
  <c r="AE53" i="3" s="1"/>
  <c r="AD49" i="3"/>
  <c r="AE49" i="3" s="1"/>
  <c r="U72" i="3"/>
  <c r="S72" i="3"/>
  <c r="U68" i="3"/>
  <c r="U131" i="3"/>
  <c r="V131" i="3"/>
  <c r="S135" i="3" l="1"/>
  <c r="U135" i="3"/>
  <c r="B103" i="3"/>
  <c r="C103" i="3" s="1"/>
  <c r="B104" i="3"/>
  <c r="C104" i="3" s="1"/>
  <c r="V72" i="3"/>
  <c r="B100" i="3"/>
  <c r="B102" i="3"/>
  <c r="C102" i="3" s="1"/>
  <c r="B101" i="3"/>
  <c r="C101" i="3" s="1"/>
  <c r="B109" i="3"/>
  <c r="C109" i="3" s="1"/>
  <c r="B108" i="3"/>
  <c r="C108" i="3" s="1"/>
  <c r="B105" i="3"/>
  <c r="C105" i="3" s="1"/>
  <c r="B106" i="3"/>
  <c r="C106" i="3" s="1"/>
  <c r="B107" i="3"/>
  <c r="C107" i="3" s="1"/>
  <c r="S60" i="3"/>
  <c r="B110" i="3" l="1"/>
  <c r="D111" i="3" s="1"/>
  <c r="V135" i="3"/>
  <c r="S123" i="3"/>
  <c r="T60" i="3"/>
  <c r="C100" i="3"/>
  <c r="D100" i="3" s="1"/>
  <c r="B111" i="3" l="1"/>
  <c r="C111" i="3" s="1"/>
  <c r="U60" i="3"/>
  <c r="V60" i="3" s="1"/>
  <c r="D102" i="3"/>
  <c r="D107" i="3"/>
  <c r="D104" i="3"/>
  <c r="D109" i="3"/>
  <c r="D101" i="3"/>
  <c r="D108" i="3"/>
  <c r="D103" i="3"/>
  <c r="D106" i="3"/>
  <c r="D105" i="3"/>
  <c r="Y56" i="3" l="1"/>
  <c r="S119" i="3" s="1"/>
  <c r="T119" i="3" s="1"/>
  <c r="Y60" i="3" l="1"/>
  <c r="X72" i="3"/>
  <c r="S51" i="3"/>
  <c r="T51" i="3" s="1"/>
  <c r="U51" i="3" s="1"/>
  <c r="V51" i="3" s="1"/>
  <c r="Z56" i="3"/>
  <c r="Z60" i="3" s="1"/>
  <c r="U119" i="3"/>
  <c r="U123" i="3" s="1"/>
  <c r="T123" i="3"/>
  <c r="Z42" i="3" l="1"/>
  <c r="Z38" i="3" s="1"/>
  <c r="X71" i="3" s="1"/>
  <c r="X63" i="3" s="1"/>
  <c r="V119" i="3"/>
  <c r="V123" i="3" s="1"/>
  <c r="X67" i="3" l="1"/>
  <c r="Y67" i="3" s="1"/>
  <c r="X65" i="3"/>
  <c r="Y65" i="3" s="1"/>
  <c r="Y63" i="3"/>
  <c r="X69" i="3" l="1"/>
  <c r="X70" i="3" s="1"/>
  <c r="Y70" i="3" s="1"/>
  <c r="Z63" i="3"/>
  <c r="Z65" i="3"/>
  <c r="Z67" i="3"/>
  <c r="I10" i="2"/>
  <c r="Z70" i="3" l="1"/>
  <c r="E5" i="2"/>
  <c r="R123" i="63"/>
  <c r="O51" i="63"/>
  <c r="O61" i="63" l="1"/>
  <c r="Q71" i="63" s="1"/>
  <c r="F11" i="2"/>
  <c r="V44" i="63"/>
  <c r="P71" i="63" l="1"/>
  <c r="V67" i="63"/>
  <c r="S71" i="63"/>
  <c r="J94" i="63" l="1"/>
  <c r="J96" i="63"/>
  <c r="K96" i="63" s="1"/>
  <c r="J95" i="63"/>
  <c r="K95" i="63" s="1"/>
  <c r="P61" i="63"/>
  <c r="K94" i="63"/>
  <c r="J93" i="63"/>
  <c r="K93" i="63" s="1"/>
  <c r="J92" i="63"/>
  <c r="K92" i="63" s="1"/>
  <c r="J90" i="63"/>
  <c r="J91" i="63"/>
  <c r="K91" i="63" s="1"/>
  <c r="J97" i="63" l="1"/>
  <c r="K90" i="63"/>
  <c r="L90" i="63" s="1"/>
  <c r="L94" i="63" l="1"/>
  <c r="L95" i="63"/>
  <c r="L92" i="63"/>
  <c r="L91" i="63"/>
  <c r="L93" i="63"/>
  <c r="L96" i="63"/>
  <c r="J98" i="63"/>
  <c r="K98" i="63" l="1"/>
  <c r="L98" i="63" l="1"/>
  <c r="P52" i="63" s="1"/>
  <c r="P56" i="63" l="1"/>
  <c r="P55" i="63"/>
  <c r="P51" i="63"/>
  <c r="Q51" i="63" s="1"/>
  <c r="R51" i="63" s="1"/>
  <c r="P53" i="63"/>
  <c r="Q53" i="63" s="1"/>
  <c r="R53" i="63" s="1"/>
  <c r="P54" i="63"/>
  <c r="Q54" i="63" s="1"/>
  <c r="R54" i="63" s="1"/>
  <c r="Q56" i="63"/>
  <c r="R56" i="63" s="1"/>
  <c r="Q55" i="63"/>
  <c r="R55" i="63" s="1"/>
  <c r="Q52" i="63"/>
  <c r="R52" i="63" s="1"/>
  <c r="Q61" i="63" l="1"/>
  <c r="R61" i="63" l="1"/>
  <c r="Y19" i="2"/>
  <c r="T21" i="2" l="1"/>
  <c r="T20" i="2"/>
  <c r="T19" i="2"/>
  <c r="T25" i="2"/>
  <c r="T24" i="2"/>
  <c r="P73" i="63"/>
  <c r="Q73" i="63" s="1"/>
  <c r="U70" i="63" l="1"/>
  <c r="V70" i="63"/>
  <c r="U73" i="63" l="1"/>
  <c r="S73" i="63"/>
  <c r="B114" i="63" l="1"/>
  <c r="C114" i="63" s="1"/>
  <c r="B113" i="63"/>
  <c r="C113" i="63" s="1"/>
  <c r="V73" i="63"/>
  <c r="B108" i="63"/>
  <c r="B111" i="63"/>
  <c r="C111" i="63" s="1"/>
  <c r="B110" i="63"/>
  <c r="C110" i="63" s="1"/>
  <c r="B112" i="63"/>
  <c r="C112" i="63" s="1"/>
  <c r="B109" i="63"/>
  <c r="C109" i="63" s="1"/>
  <c r="S61" i="63"/>
  <c r="B115" i="63" l="1"/>
  <c r="B116" i="63" s="1"/>
  <c r="Y21" i="2"/>
  <c r="Y25" i="2" s="1"/>
  <c r="T61" i="63"/>
  <c r="C108" i="63"/>
  <c r="D109" i="63" s="1"/>
  <c r="I37" i="2" l="1"/>
  <c r="C116" i="63"/>
  <c r="D114" i="63"/>
  <c r="D113" i="63"/>
  <c r="D110" i="63"/>
  <c r="D112" i="63"/>
  <c r="D111" i="63"/>
  <c r="D108" i="63"/>
  <c r="D105" i="63"/>
  <c r="D104" i="63"/>
  <c r="D106" i="63"/>
  <c r="D103" i="63"/>
  <c r="D107" i="63"/>
  <c r="T28" i="2"/>
  <c r="T29" i="2"/>
  <c r="Q29" i="2" l="1"/>
  <c r="D116" i="63"/>
  <c r="Y59" i="63" s="1"/>
  <c r="S54" i="63" s="1"/>
  <c r="X10" i="1"/>
  <c r="T35" i="2"/>
  <c r="P6" i="2" s="1"/>
  <c r="E6" i="2"/>
  <c r="T34" i="2"/>
  <c r="P5" i="2" s="1"/>
  <c r="I12" i="2" s="1"/>
  <c r="Y60" i="63" l="1"/>
  <c r="S127" i="63" s="1"/>
  <c r="T127" i="63" s="1"/>
  <c r="U127" i="63" s="1"/>
  <c r="V127" i="63" s="1"/>
  <c r="Y58" i="63"/>
  <c r="Z58" i="63" s="1"/>
  <c r="Y57" i="63"/>
  <c r="S124" i="63" s="1"/>
  <c r="T124" i="63" s="1"/>
  <c r="U124" i="63" s="1"/>
  <c r="V124" i="63" s="1"/>
  <c r="Y56" i="63"/>
  <c r="Y61" i="63"/>
  <c r="S126" i="63"/>
  <c r="T126" i="63" s="1"/>
  <c r="T54" i="63"/>
  <c r="Z59" i="63"/>
  <c r="I9" i="1"/>
  <c r="X20" i="1"/>
  <c r="I10" i="1"/>
  <c r="F10" i="1" s="1"/>
  <c r="Z60" i="63" l="1"/>
  <c r="S133" i="63"/>
  <c r="T133" i="63" s="1"/>
  <c r="U133" i="63" s="1"/>
  <c r="V133" i="63" s="1"/>
  <c r="S128" i="63"/>
  <c r="T128" i="63" s="1"/>
  <c r="I25" i="2"/>
  <c r="F25" i="2" s="1"/>
  <c r="S51" i="63"/>
  <c r="S123" i="63"/>
  <c r="T123" i="63" s="1"/>
  <c r="S55" i="63"/>
  <c r="T55" i="63" s="1"/>
  <c r="S132" i="63"/>
  <c r="T132" i="63" s="1"/>
  <c r="U132" i="63" s="1"/>
  <c r="V132" i="63" s="1"/>
  <c r="X73" i="63"/>
  <c r="S125" i="63"/>
  <c r="T125" i="63" s="1"/>
  <c r="U125" i="63" s="1"/>
  <c r="V125" i="63" s="1"/>
  <c r="Z57" i="63"/>
  <c r="Z43" i="63" s="1"/>
  <c r="Z39" i="63" s="1"/>
  <c r="X72" i="63" s="1"/>
  <c r="S52" i="63"/>
  <c r="T52" i="63" s="1"/>
  <c r="S53" i="63"/>
  <c r="T53" i="63" s="1"/>
  <c r="Z56" i="63"/>
  <c r="Z61" i="63"/>
  <c r="S56" i="63"/>
  <c r="T56" i="63" s="1"/>
  <c r="I23" i="1"/>
  <c r="I24" i="1"/>
  <c r="U126" i="63"/>
  <c r="U128" i="63" l="1"/>
  <c r="V128" i="63" s="1"/>
  <c r="I29" i="2"/>
  <c r="F29" i="2" s="1"/>
  <c r="I21" i="2"/>
  <c r="F21" i="2" s="1"/>
  <c r="I17" i="2"/>
  <c r="F17" i="2" s="1"/>
  <c r="T51" i="63"/>
  <c r="T57" i="63"/>
  <c r="X64" i="63"/>
  <c r="T139" i="63"/>
  <c r="U123" i="63"/>
  <c r="V123" i="63" s="1"/>
  <c r="X68" i="63"/>
  <c r="Y68" i="63" s="1"/>
  <c r="X66" i="63"/>
  <c r="Y66" i="63" s="1"/>
  <c r="V126" i="63"/>
  <c r="I28" i="1"/>
  <c r="I32" i="1" s="1"/>
  <c r="E5" i="1" s="1"/>
  <c r="I27" i="1"/>
  <c r="I31" i="1" s="1"/>
  <c r="E4" i="1" s="1"/>
  <c r="O15" i="22" s="1"/>
  <c r="H15" i="22" s="1"/>
  <c r="I13" i="2" l="1"/>
  <c r="F13" i="2" s="1"/>
  <c r="Y64" i="63"/>
  <c r="S131" i="63" s="1"/>
  <c r="T131" i="63" s="1"/>
  <c r="V139" i="63"/>
  <c r="U139" i="63"/>
  <c r="X70" i="63"/>
  <c r="X71" i="63" s="1"/>
  <c r="Y71" i="63" s="1"/>
  <c r="O16" i="22"/>
  <c r="H16" i="22"/>
  <c r="F28" i="1"/>
  <c r="G19" i="22"/>
  <c r="Z66" i="63" l="1"/>
  <c r="Z68" i="63"/>
  <c r="Z65" i="63"/>
  <c r="U131" i="63"/>
  <c r="V131" i="63" s="1"/>
  <c r="Z71" i="63"/>
</calcChain>
</file>

<file path=xl/sharedStrings.xml><?xml version="1.0" encoding="utf-8"?>
<sst xmlns="http://schemas.openxmlformats.org/spreadsheetml/2006/main" count="2728" uniqueCount="879">
  <si>
    <t>計　　装　  盤</t>
    <phoneticPr fontId="12"/>
  </si>
  <si>
    <t>レベルスイッチ</t>
    <phoneticPr fontId="12"/>
  </si>
  <si>
    <t>屋外露出</t>
    <rPh sb="0" eb="2">
      <t>オクガイ</t>
    </rPh>
    <rPh sb="2" eb="4">
      <t>ロシュツ</t>
    </rPh>
    <phoneticPr fontId="12"/>
  </si>
  <si>
    <t xml:space="preserve">   〃</t>
    <phoneticPr fontId="12"/>
  </si>
  <si>
    <t>上記材料費の 90％</t>
    <phoneticPr fontId="12"/>
  </si>
  <si>
    <t>塩ビ製　W=150</t>
  </si>
  <si>
    <t>RC-40 t=0.10m</t>
  </si>
  <si>
    <t>ケ</t>
    <phoneticPr fontId="12"/>
  </si>
  <si>
    <t>ｍ</t>
    <phoneticPr fontId="12"/>
  </si>
  <si>
    <t>上記材料費の 10％</t>
    <phoneticPr fontId="12"/>
  </si>
  <si>
    <t>ケーブルラック</t>
  </si>
  <si>
    <t>上記材料費の 70％</t>
    <phoneticPr fontId="12"/>
  </si>
  <si>
    <t>電　線　管</t>
    <rPh sb="0" eb="1">
      <t>デン</t>
    </rPh>
    <rPh sb="2" eb="3">
      <t>セン</t>
    </rPh>
    <rPh sb="4" eb="5">
      <t>カン</t>
    </rPh>
    <phoneticPr fontId="12"/>
  </si>
  <si>
    <t>照</t>
    <rPh sb="0" eb="1">
      <t>アキラ</t>
    </rPh>
    <phoneticPr fontId="12"/>
  </si>
  <si>
    <t>上記材料費の 30％</t>
    <phoneticPr fontId="8"/>
  </si>
  <si>
    <t>電</t>
    <rPh sb="0" eb="1">
      <t>デン</t>
    </rPh>
    <phoneticPr fontId="8"/>
  </si>
  <si>
    <t>線</t>
    <rPh sb="0" eb="1">
      <t>セン</t>
    </rPh>
    <phoneticPr fontId="8"/>
  </si>
  <si>
    <t>管</t>
    <rPh sb="0" eb="1">
      <t>カン</t>
    </rPh>
    <phoneticPr fontId="8"/>
  </si>
  <si>
    <t>外</t>
    <rPh sb="0" eb="1">
      <t>ガイ</t>
    </rPh>
    <phoneticPr fontId="8"/>
  </si>
  <si>
    <t>灯</t>
    <rPh sb="0" eb="1">
      <t>トウ</t>
    </rPh>
    <phoneticPr fontId="8"/>
  </si>
  <si>
    <t xml:space="preserve">  合成樹脂製</t>
    <rPh sb="2" eb="4">
      <t>ゴウセイ</t>
    </rPh>
    <rPh sb="4" eb="7">
      <t>ジュシセイ</t>
    </rPh>
    <phoneticPr fontId="8"/>
  </si>
  <si>
    <t xml:space="preserve">可とう電線管 </t>
    <rPh sb="0" eb="1">
      <t>カ</t>
    </rPh>
    <rPh sb="3" eb="5">
      <t>デンセン</t>
    </rPh>
    <rPh sb="5" eb="6">
      <t>カン</t>
    </rPh>
    <phoneticPr fontId="8"/>
  </si>
  <si>
    <t>〃</t>
    <phoneticPr fontId="8"/>
  </si>
  <si>
    <t>個</t>
    <rPh sb="0" eb="1">
      <t>コ</t>
    </rPh>
    <phoneticPr fontId="8"/>
  </si>
  <si>
    <t>ｍ</t>
    <phoneticPr fontId="8"/>
  </si>
  <si>
    <t>上記材料費の 30％</t>
    <phoneticPr fontId="12"/>
  </si>
  <si>
    <t>電 気 設 備</t>
    <rPh sb="0" eb="1">
      <t>デン</t>
    </rPh>
    <rPh sb="2" eb="3">
      <t>キ</t>
    </rPh>
    <rPh sb="4" eb="5">
      <t>セツ</t>
    </rPh>
    <rPh sb="6" eb="7">
      <t>ビ</t>
    </rPh>
    <phoneticPr fontId="8"/>
  </si>
  <si>
    <t>電　　　　工</t>
    <rPh sb="0" eb="1">
      <t>デン</t>
    </rPh>
    <rPh sb="5" eb="6">
      <t>タクミ</t>
    </rPh>
    <phoneticPr fontId="8"/>
  </si>
  <si>
    <t>人</t>
    <rPh sb="0" eb="1">
      <t>ニン</t>
    </rPh>
    <phoneticPr fontId="8"/>
  </si>
  <si>
    <t>気</t>
    <rPh sb="0" eb="1">
      <t>キ</t>
    </rPh>
    <phoneticPr fontId="8"/>
  </si>
  <si>
    <t>設</t>
    <rPh sb="0" eb="1">
      <t>セツ</t>
    </rPh>
    <phoneticPr fontId="8"/>
  </si>
  <si>
    <t>備</t>
    <rPh sb="0" eb="1">
      <t>ビ</t>
    </rPh>
    <phoneticPr fontId="8"/>
  </si>
  <si>
    <t>計</t>
    <rPh sb="0" eb="1">
      <t>ケイ</t>
    </rPh>
    <phoneticPr fontId="8"/>
  </si>
  <si>
    <t>装</t>
    <rPh sb="0" eb="1">
      <t>ソウ</t>
    </rPh>
    <phoneticPr fontId="8"/>
  </si>
  <si>
    <t>動</t>
    <rPh sb="0" eb="1">
      <t>ドウ</t>
    </rPh>
    <phoneticPr fontId="8"/>
  </si>
  <si>
    <t>力</t>
    <rPh sb="0" eb="1">
      <t>リョク</t>
    </rPh>
    <phoneticPr fontId="8"/>
  </si>
  <si>
    <t>気</t>
    <rPh sb="0" eb="1">
      <t>キ</t>
    </rPh>
    <phoneticPr fontId="12"/>
  </si>
  <si>
    <t>・</t>
    <phoneticPr fontId="12"/>
  </si>
  <si>
    <t>管</t>
    <rPh sb="0" eb="1">
      <t>カン</t>
    </rPh>
    <phoneticPr fontId="12"/>
  </si>
  <si>
    <t>電 灯 分 電 盤</t>
  </si>
  <si>
    <t>電気通信技術者</t>
  </si>
  <si>
    <t>電気通信技術員</t>
  </si>
  <si>
    <t xml:space="preserve"> 電線・ケーブル</t>
  </si>
  <si>
    <t>ケ　ー　ブ　ル</t>
  </si>
  <si>
    <t xml:space="preserve"> 建　柱　工</t>
  </si>
  <si>
    <t>そ  の  他</t>
  </si>
  <si>
    <t>ハ ン ド ホ ー ル</t>
  </si>
  <si>
    <t>上記材料費の1.5％</t>
  </si>
  <si>
    <t>レースウェイ</t>
  </si>
  <si>
    <t>照 明 設 備</t>
  </si>
  <si>
    <t>電気設備据付</t>
    <rPh sb="0" eb="2">
      <t>デンキ</t>
    </rPh>
    <rPh sb="2" eb="4">
      <t>セツビ</t>
    </rPh>
    <rPh sb="4" eb="6">
      <t>スエツケ</t>
    </rPh>
    <phoneticPr fontId="12"/>
  </si>
  <si>
    <t>上記材料費の 1.5％</t>
    <phoneticPr fontId="12"/>
  </si>
  <si>
    <t>電　線　管</t>
    <phoneticPr fontId="12"/>
  </si>
  <si>
    <t>屋内露出</t>
    <rPh sb="0" eb="2">
      <t>オクナイ</t>
    </rPh>
    <rPh sb="2" eb="4">
      <t>ロシュツ</t>
    </rPh>
    <phoneticPr fontId="12"/>
  </si>
  <si>
    <t>電　 線 　管</t>
    <phoneticPr fontId="12"/>
  </si>
  <si>
    <t>ｍ</t>
    <phoneticPr fontId="12"/>
  </si>
  <si>
    <t>そ　の　他</t>
    <phoneticPr fontId="12"/>
  </si>
  <si>
    <t>上記材料費の 1.5％</t>
    <phoneticPr fontId="12"/>
  </si>
  <si>
    <t>ｍ</t>
    <phoneticPr fontId="8"/>
  </si>
  <si>
    <t>電　 線 　管</t>
    <rPh sb="0" eb="1">
      <t>デン</t>
    </rPh>
    <rPh sb="3" eb="4">
      <t>セン</t>
    </rPh>
    <rPh sb="6" eb="7">
      <t>カン</t>
    </rPh>
    <phoneticPr fontId="8"/>
  </si>
  <si>
    <t>そ　の　他</t>
    <rPh sb="4" eb="5">
      <t>タ</t>
    </rPh>
    <phoneticPr fontId="12"/>
  </si>
  <si>
    <t>調整金額</t>
    <rPh sb="0" eb="2">
      <t>チョウセイ</t>
    </rPh>
    <rPh sb="2" eb="4">
      <t>キンガク</t>
    </rPh>
    <phoneticPr fontId="12"/>
  </si>
  <si>
    <t xml:space="preserve">補　助(H11) </t>
    <rPh sb="0" eb="1">
      <t>ホ</t>
    </rPh>
    <rPh sb="2" eb="3">
      <t>スケ</t>
    </rPh>
    <phoneticPr fontId="12"/>
  </si>
  <si>
    <t xml:space="preserve">非補助(H11) </t>
    <rPh sb="0" eb="1">
      <t>ヒ</t>
    </rPh>
    <rPh sb="1" eb="2">
      <t>ホ</t>
    </rPh>
    <rPh sb="2" eb="3">
      <t>スケ</t>
    </rPh>
    <phoneticPr fontId="12"/>
  </si>
  <si>
    <t xml:space="preserve">補　助(H12) </t>
    <rPh sb="0" eb="1">
      <t>ホ</t>
    </rPh>
    <rPh sb="2" eb="3">
      <t>スケ</t>
    </rPh>
    <phoneticPr fontId="12"/>
  </si>
  <si>
    <t>微調整金額</t>
    <rPh sb="0" eb="1">
      <t>ビ</t>
    </rPh>
    <rPh sb="1" eb="3">
      <t>チョウセイ</t>
    </rPh>
    <rPh sb="3" eb="5">
      <t>キンガク</t>
    </rPh>
    <phoneticPr fontId="12"/>
  </si>
  <si>
    <t>土木(H11)</t>
    <rPh sb="0" eb="2">
      <t>ドボク</t>
    </rPh>
    <phoneticPr fontId="12"/>
  </si>
  <si>
    <t>機械</t>
    <rPh sb="0" eb="2">
      <t>キカイ</t>
    </rPh>
    <phoneticPr fontId="12"/>
  </si>
  <si>
    <t>電気</t>
    <rPh sb="0" eb="2">
      <t>デンキ</t>
    </rPh>
    <phoneticPr fontId="12"/>
  </si>
  <si>
    <t>調整後工事価格(製作価格除く)</t>
    <rPh sb="2" eb="3">
      <t>ゴ</t>
    </rPh>
    <rPh sb="8" eb="10">
      <t>セイサク</t>
    </rPh>
    <rPh sb="10" eb="12">
      <t>カカク</t>
    </rPh>
    <rPh sb="12" eb="13">
      <t>ノゾ</t>
    </rPh>
    <phoneticPr fontId="12"/>
  </si>
  <si>
    <t>　汚　水　処　理　施　設　工　事　　工　事　価　格　明　細　書　</t>
    <rPh sb="13" eb="14">
      <t>タクミ</t>
    </rPh>
    <rPh sb="15" eb="16">
      <t>コト</t>
    </rPh>
    <phoneticPr fontId="12"/>
  </si>
  <si>
    <t>　保証 有 ＝ １, 無 ＝ ２</t>
    <phoneticPr fontId="12"/>
  </si>
  <si>
    <t>　土木工事（その１）</t>
    <phoneticPr fontId="12"/>
  </si>
  <si>
    <t>　土木工事（その２）</t>
    <phoneticPr fontId="12"/>
  </si>
  <si>
    <t>本</t>
    <rPh sb="0" eb="1">
      <t>ホン</t>
    </rPh>
    <phoneticPr fontId="12"/>
  </si>
  <si>
    <t>　土木工事（非補助）</t>
    <rPh sb="1" eb="3">
      <t>ドボク</t>
    </rPh>
    <rPh sb="3" eb="5">
      <t>コウジ</t>
    </rPh>
    <rPh sb="6" eb="7">
      <t>ヒ</t>
    </rPh>
    <rPh sb="7" eb="9">
      <t>ホジョ</t>
    </rPh>
    <phoneticPr fontId="12"/>
  </si>
  <si>
    <t>　機械設備据付</t>
    <phoneticPr fontId="12"/>
  </si>
  <si>
    <t>　機械設備据付（非補助）</t>
    <rPh sb="8" eb="9">
      <t>ヒ</t>
    </rPh>
    <rPh sb="9" eb="11">
      <t>ホジョ</t>
    </rPh>
    <phoneticPr fontId="12"/>
  </si>
  <si>
    <t>　電気設備据付</t>
    <phoneticPr fontId="12"/>
  </si>
  <si>
    <t>箇所</t>
    <rPh sb="0" eb="2">
      <t>カショ</t>
    </rPh>
    <phoneticPr fontId="12"/>
  </si>
  <si>
    <t>内 訳</t>
    <phoneticPr fontId="6"/>
  </si>
  <si>
    <t>請 負 額</t>
    <phoneticPr fontId="6"/>
  </si>
  <si>
    <t>他</t>
    <rPh sb="0" eb="1">
      <t>タ</t>
    </rPh>
    <phoneticPr fontId="12"/>
  </si>
  <si>
    <t>★</t>
    <phoneticPr fontId="12"/>
  </si>
  <si>
    <t>ｍ</t>
    <phoneticPr fontId="12"/>
  </si>
  <si>
    <t>電</t>
    <rPh sb="0" eb="1">
      <t>デン</t>
    </rPh>
    <phoneticPr fontId="12"/>
  </si>
  <si>
    <t>線</t>
    <rPh sb="0" eb="1">
      <t>セン</t>
    </rPh>
    <phoneticPr fontId="12"/>
  </si>
  <si>
    <t>( 非 補 助 )</t>
  </si>
  <si>
    <t>直　接　工　事　費</t>
  </si>
  <si>
    <t>名  　　称</t>
  </si>
  <si>
    <t>規　　　 格</t>
  </si>
  <si>
    <t>数　 量</t>
  </si>
  <si>
    <t>単位</t>
  </si>
  <si>
    <t>単　 価</t>
  </si>
  <si>
    <t>金　　額</t>
  </si>
  <si>
    <t>摘  　　要</t>
  </si>
  <si>
    <t>(円)</t>
  </si>
  <si>
    <t>番号</t>
  </si>
  <si>
    <t xml:space="preserve"> 別紙工事価格</t>
  </si>
  <si>
    <t>式</t>
  </si>
  <si>
    <t xml:space="preserve">明細書参照 </t>
  </si>
  <si>
    <t>〃</t>
  </si>
  <si>
    <t>計</t>
  </si>
  <si>
    <t>消 費 税 相 当 額</t>
  </si>
  <si>
    <t>合　　　計</t>
  </si>
  <si>
    <t>数　量</t>
  </si>
  <si>
    <t>直 接 工 事 費</t>
  </si>
  <si>
    <t>共 通 仮 設 費</t>
  </si>
  <si>
    <t>現 場 管 理 費</t>
  </si>
  <si>
    <t>小　　　計</t>
  </si>
  <si>
    <t>一 般 管 理 費</t>
  </si>
  <si>
    <t>諸 経 費 算 出 世 代</t>
  </si>
  <si>
    <t>　汚　水　処　理　施　設　工　事　価　格　算　出　表　</t>
  </si>
  <si>
    <t>施工地域・施工場所区分</t>
  </si>
  <si>
    <t>＊ 工 事 費</t>
  </si>
  <si>
    <t>単位：千円</t>
  </si>
  <si>
    <t>一般管理費乗率の補正</t>
  </si>
  <si>
    <t>直　接</t>
  </si>
  <si>
    <t>仮 設 費</t>
  </si>
  <si>
    <t>事業損失</t>
  </si>
  <si>
    <t>官給品費</t>
  </si>
  <si>
    <t>官 貸 額</t>
  </si>
  <si>
    <t>契 約 保 証 の 補 正</t>
  </si>
  <si>
    <t>工　　　　　　種</t>
  </si>
  <si>
    <t>工 事 費</t>
  </si>
  <si>
    <t>防止施設費</t>
  </si>
  <si>
    <t>⑥</t>
  </si>
  <si>
    <t>①</t>
  </si>
  <si>
    <t>②</t>
  </si>
  <si>
    <t xml:space="preserve"> ③</t>
  </si>
  <si>
    <t>④</t>
  </si>
  <si>
    <t>⑤</t>
  </si>
  <si>
    <t>Σ①～⑤</t>
  </si>
  <si>
    <t>【土 木 工 事】</t>
  </si>
  <si>
    <t>【機械・電気設備】</t>
  </si>
  <si>
    <t>【共　通】</t>
  </si>
  <si>
    <t>間接労務費</t>
  </si>
  <si>
    <t>共通仮設費</t>
  </si>
  <si>
    <t>現場管理費</t>
  </si>
  <si>
    <t>一般管理費</t>
  </si>
  <si>
    <t>共通仮設費率</t>
  </si>
  <si>
    <t>現場管理費率</t>
  </si>
  <si>
    <t>1,000万未満</t>
  </si>
  <si>
    <t>300万未満</t>
  </si>
  <si>
    <t>20億以上</t>
  </si>
  <si>
    <t xml:space="preserve"> 10億以上</t>
  </si>
  <si>
    <t>Ａ</t>
  </si>
  <si>
    <t>ｂ</t>
  </si>
  <si>
    <t>【 一般管理費率 】</t>
  </si>
  <si>
    <t>各費率の補正値</t>
  </si>
  <si>
    <t>[土木・機械・電気　共通]</t>
  </si>
  <si>
    <t>施工地域 ・ 施工場所区分</t>
  </si>
  <si>
    <t>500万未満</t>
  </si>
  <si>
    <t>市　　　街　　　地</t>
  </si>
  <si>
    <t>－　　</t>
  </si>
  <si>
    <t>30億以上</t>
  </si>
  <si>
    <t>山間避地 及び 離島</t>
  </si>
  <si>
    <t>地方部</t>
  </si>
  <si>
    <t>交通の影響有</t>
  </si>
  <si>
    <t>＊ 共 通 仮 設 費 算 定</t>
  </si>
  <si>
    <t>交通の影響無</t>
  </si>
  <si>
    <t>費率金額</t>
  </si>
  <si>
    <t>機械運搬費</t>
  </si>
  <si>
    <t>役 務 費</t>
  </si>
  <si>
    <t>積上金額計</t>
  </si>
  <si>
    <t>対  象  額</t>
  </si>
  <si>
    <t>⑧</t>
  </si>
  <si>
    <t>⑩</t>
  </si>
  <si>
    <t>⑪-1</t>
  </si>
  <si>
    <t>⑪-2</t>
  </si>
  <si>
    <t>Σ⑪</t>
  </si>
  <si>
    <t xml:space="preserve"> ⑫=②+③+</t>
  </si>
  <si>
    <t>⑦＝Σ①～④</t>
  </si>
  <si>
    <t>⑨＝⑦＋⑧</t>
  </si>
  <si>
    <t xml:space="preserve">⑧+⑩+⑪ </t>
  </si>
  <si>
    <t>共通仮設費乗率(土木工事)</t>
  </si>
  <si>
    <t>間接労務</t>
  </si>
  <si>
    <t>現場管理費乗率(土木工事)</t>
  </si>
  <si>
    <t>下限</t>
  </si>
  <si>
    <t>上限</t>
  </si>
  <si>
    <t>＊ 工 事 価 格 及び 請 負 工 事 費 算 定</t>
  </si>
  <si>
    <t>純工事費計</t>
  </si>
  <si>
    <t>据付間接費</t>
  </si>
  <si>
    <t>工事原価計</t>
  </si>
  <si>
    <t>工事価格計</t>
  </si>
  <si>
    <t>消費税相当額</t>
  </si>
  <si>
    <t>請負工事費</t>
  </si>
  <si>
    <t>⑬</t>
  </si>
  <si>
    <t>⑭</t>
  </si>
  <si>
    <t>⑮</t>
  </si>
  <si>
    <t>⑯</t>
  </si>
  <si>
    <t>⑰</t>
  </si>
  <si>
    <t>⑱</t>
  </si>
  <si>
    <t>⑲</t>
  </si>
  <si>
    <t>⑳</t>
  </si>
  <si>
    <t>⑬＋⑭＋⑮</t>
  </si>
  <si>
    <t>一般管理費乗率(共通)</t>
  </si>
  <si>
    <t>共通仮設費乗率の補正</t>
  </si>
  <si>
    <t>＊　費　率　算　定</t>
  </si>
  <si>
    <t>項　　目</t>
  </si>
  <si>
    <t>対象金額</t>
  </si>
  <si>
    <t>費  率</t>
  </si>
  <si>
    <t>補正係数</t>
  </si>
  <si>
    <t>補正費率</t>
  </si>
  <si>
    <t>備　　　   考</t>
  </si>
  <si>
    <t>地方部　一般交通の影響有り</t>
  </si>
  <si>
    <t>(千円)</t>
  </si>
  <si>
    <t>(％)</t>
  </si>
  <si>
    <t>　〃　　一般交通の影響無し</t>
  </si>
  <si>
    <t>現場管理費乗率の補正</t>
  </si>
  <si>
    <t>Ｂ</t>
  </si>
  <si>
    <t>Ｃ</t>
  </si>
  <si>
    <t>Ｄ</t>
  </si>
  <si>
    <t>工　　　種</t>
  </si>
  <si>
    <t>★★★</t>
  </si>
  <si>
    <t>★</t>
  </si>
  <si>
    <t>変更前</t>
  </si>
  <si>
    <t>集計範囲</t>
  </si>
  <si>
    <t>当初･出来高</t>
  </si>
  <si>
    <t>小    　計</t>
  </si>
  <si>
    <t>変更</t>
  </si>
  <si>
    <t>最終集計行</t>
  </si>
  <si>
    <t>工   種</t>
  </si>
  <si>
    <t>名　　  称</t>
  </si>
  <si>
    <t>規　　　格　・　寸　　　法</t>
  </si>
  <si>
    <t>備　　　考</t>
  </si>
  <si>
    <t>摘 　　要</t>
  </si>
  <si>
    <t>２位</t>
  </si>
  <si>
    <t>基</t>
  </si>
  <si>
    <t>ｍ</t>
  </si>
  <si>
    <t>改　　　め</t>
  </si>
  <si>
    <t>本</t>
  </si>
  <si>
    <t>個</t>
  </si>
  <si>
    <t>付  属  材  料</t>
  </si>
  <si>
    <t>(　　－　　)</t>
  </si>
  <si>
    <t xml:space="preserve">－　　 </t>
  </si>
  <si>
    <t>〃</t>
    <phoneticPr fontId="12"/>
  </si>
  <si>
    <t>台</t>
    <rPh sb="0" eb="1">
      <t>ダイ</t>
    </rPh>
    <phoneticPr fontId="6"/>
  </si>
  <si>
    <t>改　　　め</t>
    <rPh sb="0" eb="1">
      <t>アラタ</t>
    </rPh>
    <phoneticPr fontId="6"/>
  </si>
  <si>
    <t xml:space="preserve"> 別紙工事費</t>
    <phoneticPr fontId="12"/>
  </si>
  <si>
    <t xml:space="preserve">明細書参照 </t>
    <phoneticPr fontId="12"/>
  </si>
  <si>
    <t>〃</t>
    <phoneticPr fontId="12"/>
  </si>
  <si>
    <t>〃</t>
    <phoneticPr fontId="12"/>
  </si>
  <si>
    <t>施工場所</t>
  </si>
  <si>
    <t>工事名</t>
  </si>
  <si>
    <t>設計金額</t>
  </si>
  <si>
    <t>内消費税相当額　￥</t>
  </si>
  <si>
    <t>施工期間</t>
  </si>
  <si>
    <t>事業量</t>
  </si>
  <si>
    <t>備考</t>
  </si>
  <si>
    <t>設</t>
    <rPh sb="0" eb="1">
      <t>セツ</t>
    </rPh>
    <phoneticPr fontId="12"/>
  </si>
  <si>
    <t>備</t>
    <rPh sb="0" eb="1">
      <t>ビ</t>
    </rPh>
    <phoneticPr fontId="12"/>
  </si>
  <si>
    <t>個</t>
    <rPh sb="0" eb="1">
      <t>コ</t>
    </rPh>
    <phoneticPr fontId="12"/>
  </si>
  <si>
    <t>工</t>
    <rPh sb="0" eb="1">
      <t>コウ</t>
    </rPh>
    <phoneticPr fontId="12"/>
  </si>
  <si>
    <t>枚</t>
    <rPh sb="0" eb="1">
      <t>マイ</t>
    </rPh>
    <phoneticPr fontId="12"/>
  </si>
  <si>
    <t xml:space="preserve"> 一般管理費率</t>
  </si>
  <si>
    <t xml:space="preserve"> 契約保証補正  </t>
  </si>
  <si>
    <t>代 価
番 号</t>
    <rPh sb="4" eb="5">
      <t>バン</t>
    </rPh>
    <rPh sb="6" eb="7">
      <t>ゴウ</t>
    </rPh>
    <phoneticPr fontId="12"/>
  </si>
  <si>
    <t>種類</t>
    <rPh sb="0" eb="2">
      <t>シュルイ</t>
    </rPh>
    <phoneticPr fontId="12"/>
  </si>
  <si>
    <t>桁</t>
    <rPh sb="0" eb="1">
      <t>ケタ</t>
    </rPh>
    <phoneticPr fontId="12"/>
  </si>
  <si>
    <t>小数</t>
    <rPh sb="0" eb="2">
      <t>ショウスウ</t>
    </rPh>
    <phoneticPr fontId="12"/>
  </si>
  <si>
    <t>設計書区分</t>
    <rPh sb="0" eb="3">
      <t>セッケイショ</t>
    </rPh>
    <rPh sb="3" eb="5">
      <t>クブン</t>
    </rPh>
    <phoneticPr fontId="6"/>
  </si>
  <si>
    <t>- - - - - - - - - - - -</t>
    <phoneticPr fontId="6"/>
  </si>
  <si>
    <t>１＝</t>
    <phoneticPr fontId="6"/>
  </si>
  <si>
    <t>当初設計＆出来高設計</t>
    <rPh sb="0" eb="2">
      <t>トウショ</t>
    </rPh>
    <rPh sb="2" eb="4">
      <t>セッケイ</t>
    </rPh>
    <rPh sb="5" eb="8">
      <t>デキダカ</t>
    </rPh>
    <rPh sb="8" eb="10">
      <t>セッケイ</t>
    </rPh>
    <phoneticPr fontId="6"/>
  </si>
  <si>
    <t>２＝</t>
    <phoneticPr fontId="6"/>
  </si>
  <si>
    <t>変更施行設計</t>
    <rPh sb="0" eb="2">
      <t>ヘンコウ</t>
    </rPh>
    <rPh sb="2" eb="4">
      <t>セコウ</t>
    </rPh>
    <rPh sb="4" eb="6">
      <t>セッケイ</t>
    </rPh>
    <phoneticPr fontId="6"/>
  </si>
  <si>
    <t>数量データ入力は [ Ｆ列 ] に入力</t>
    <rPh sb="0" eb="2">
      <t>スウリョウ</t>
    </rPh>
    <rPh sb="5" eb="7">
      <t>ニュウリョク</t>
    </rPh>
    <rPh sb="12" eb="13">
      <t>レツ</t>
    </rPh>
    <rPh sb="17" eb="19">
      <t>ニュウリョク</t>
    </rPh>
    <phoneticPr fontId="8"/>
  </si>
  <si>
    <t>下段→当初・変更後</t>
    <rPh sb="0" eb="2">
      <t>カダン</t>
    </rPh>
    <rPh sb="3" eb="5">
      <t>トウショ</t>
    </rPh>
    <rPh sb="6" eb="9">
      <t>ヘンコウゴ</t>
    </rPh>
    <phoneticPr fontId="8"/>
  </si>
  <si>
    <t>当初</t>
    <rPh sb="0" eb="2">
      <t>トウショ</t>
    </rPh>
    <phoneticPr fontId="12"/>
  </si>
  <si>
    <t>変更前</t>
    <rPh sb="0" eb="3">
      <t>ヘンコウゼン</t>
    </rPh>
    <phoneticPr fontId="12"/>
  </si>
  <si>
    <t xml:space="preserve">上段→ 変　更　前 </t>
    <rPh sb="0" eb="2">
      <t>ジョウダン</t>
    </rPh>
    <rPh sb="4" eb="5">
      <t>ヘン</t>
    </rPh>
    <rPh sb="6" eb="7">
      <t>サラ</t>
    </rPh>
    <rPh sb="8" eb="9">
      <t>ゼン</t>
    </rPh>
    <phoneticPr fontId="8"/>
  </si>
  <si>
    <t>小計＝１</t>
    <rPh sb="0" eb="2">
      <t>ショウケイ</t>
    </rPh>
    <phoneticPr fontId="12"/>
  </si>
  <si>
    <t>改め＝３</t>
    <rPh sb="0" eb="1">
      <t>アラタ</t>
    </rPh>
    <phoneticPr fontId="12"/>
  </si>
  <si>
    <t>合計＝２　　を入力</t>
    <rPh sb="0" eb="2">
      <t>ゴウケイ</t>
    </rPh>
    <rPh sb="7" eb="9">
      <t>ニュウリョク</t>
    </rPh>
    <phoneticPr fontId="12"/>
  </si>
  <si>
    <t>種類</t>
    <rPh sb="0" eb="1">
      <t>タネ</t>
    </rPh>
    <rPh sb="1" eb="2">
      <t>タグイ</t>
    </rPh>
    <phoneticPr fontId="12"/>
  </si>
  <si>
    <t>⑦ × Ａ</t>
    <phoneticPr fontId="12"/>
  </si>
  <si>
    <t>⑪-2</t>
    <phoneticPr fontId="12"/>
  </si>
  <si>
    <t>⑱×0.05</t>
    <phoneticPr fontId="12"/>
  </si>
  <si>
    <t>⑱ ＋ ⑲</t>
    <phoneticPr fontId="12"/>
  </si>
  <si>
    <t>⑯ ＋ ⑰</t>
    <phoneticPr fontId="12"/>
  </si>
  <si>
    <t>⑯ × Ｄ</t>
    <phoneticPr fontId="12"/>
  </si>
  <si>
    <t>⑬ × Ｃ</t>
    <phoneticPr fontId="12"/>
  </si>
  <si>
    <t>① ＋ ⑫</t>
    <phoneticPr fontId="12"/>
  </si>
  <si>
    <t>⑨ × Ｂ</t>
    <phoneticPr fontId="12"/>
  </si>
  <si>
    <t>&lt; 変更前 &gt;</t>
    <rPh sb="2" eb="5">
      <t>ヘンコウゼン</t>
    </rPh>
    <phoneticPr fontId="12"/>
  </si>
  <si>
    <t>直接工事費</t>
    <rPh sb="0" eb="2">
      <t>チョクセツ</t>
    </rPh>
    <rPh sb="2" eb="5">
      <t>コウジヒ</t>
    </rPh>
    <phoneticPr fontId="12"/>
  </si>
  <si>
    <t>仮設費</t>
    <rPh sb="0" eb="2">
      <t>カセツ</t>
    </rPh>
    <rPh sb="2" eb="3">
      <t>ヒ</t>
    </rPh>
    <phoneticPr fontId="12"/>
  </si>
  <si>
    <t>計</t>
    <rPh sb="0" eb="1">
      <t>ケイ</t>
    </rPh>
    <phoneticPr fontId="12"/>
  </si>
  <si>
    <t>(率計算)</t>
    <rPh sb="1" eb="2">
      <t>リツ</t>
    </rPh>
    <rPh sb="2" eb="4">
      <t>ケイサン</t>
    </rPh>
    <phoneticPr fontId="12"/>
  </si>
  <si>
    <t>差＝</t>
    <rPh sb="0" eb="1">
      <t>サ</t>
    </rPh>
    <phoneticPr fontId="12"/>
  </si>
  <si>
    <t>(積上計算)</t>
    <rPh sb="1" eb="2">
      <t>ツ</t>
    </rPh>
    <rPh sb="2" eb="3">
      <t>ア</t>
    </rPh>
    <rPh sb="3" eb="5">
      <t>ケイサン</t>
    </rPh>
    <phoneticPr fontId="12"/>
  </si>
  <si>
    <t>共 通 仮 設</t>
    <rPh sb="0" eb="1">
      <t>トモ</t>
    </rPh>
    <rPh sb="2" eb="3">
      <t>ツウ</t>
    </rPh>
    <rPh sb="4" eb="5">
      <t>カリ</t>
    </rPh>
    <rPh sb="6" eb="7">
      <t>セツ</t>
    </rPh>
    <phoneticPr fontId="12"/>
  </si>
  <si>
    <t>&lt; 現場管理費 分配 &gt;</t>
    <rPh sb="2" eb="4">
      <t>ゲンバ</t>
    </rPh>
    <rPh sb="4" eb="7">
      <t>カンリヒ</t>
    </rPh>
    <rPh sb="8" eb="10">
      <t>ブンパイ</t>
    </rPh>
    <phoneticPr fontId="12"/>
  </si>
  <si>
    <t>&lt; 共通仮設費 分配 &gt;</t>
    <rPh sb="2" eb="4">
      <t>キョウツウ</t>
    </rPh>
    <rPh sb="4" eb="7">
      <t>カセツヒ</t>
    </rPh>
    <rPh sb="8" eb="10">
      <t>ブンパイ</t>
    </rPh>
    <phoneticPr fontId="12"/>
  </si>
  <si>
    <t>&lt; 一般管理費 分配 &gt;</t>
    <rPh sb="2" eb="4">
      <t>イッパン</t>
    </rPh>
    <rPh sb="4" eb="7">
      <t>カンリヒ</t>
    </rPh>
    <rPh sb="8" eb="10">
      <t>ブンパイ</t>
    </rPh>
    <phoneticPr fontId="12"/>
  </si>
  <si>
    <t>当初</t>
  </si>
  <si>
    <t>共通仮設費</t>
    <phoneticPr fontId="12"/>
  </si>
  <si>
    <t>現場管理費</t>
    <phoneticPr fontId="12"/>
  </si>
  <si>
    <t>一般管理費</t>
    <phoneticPr fontId="12"/>
  </si>
  <si>
    <t>直接工事費</t>
    <phoneticPr fontId="12"/>
  </si>
  <si>
    <t>電気設備</t>
    <rPh sb="0" eb="2">
      <t>デンキ</t>
    </rPh>
    <rPh sb="2" eb="4">
      <t>セツビ</t>
    </rPh>
    <phoneticPr fontId="12"/>
  </si>
  <si>
    <t>設備製作工</t>
    <phoneticPr fontId="12"/>
  </si>
  <si>
    <t>電気設備</t>
    <phoneticPr fontId="12"/>
  </si>
  <si>
    <t>( 補 助 )</t>
    <phoneticPr fontId="12"/>
  </si>
  <si>
    <t>( 非 補 助 )</t>
    <phoneticPr fontId="12"/>
  </si>
  <si>
    <t>工事原価</t>
    <phoneticPr fontId="12"/>
  </si>
  <si>
    <t>＜名称欄＞</t>
  </si>
  <si>
    <t>＜データ入力欄＞</t>
  </si>
  <si>
    <t xml:space="preserve">当初設計 又は 変 更 後 </t>
    <rPh sb="0" eb="2">
      <t>トウショ</t>
    </rPh>
    <rPh sb="2" eb="4">
      <t>セッケイ</t>
    </rPh>
    <rPh sb="5" eb="6">
      <t>マタ</t>
    </rPh>
    <rPh sb="8" eb="9">
      <t>ヘン</t>
    </rPh>
    <rPh sb="10" eb="11">
      <t>サラ</t>
    </rPh>
    <rPh sb="12" eb="13">
      <t>アト</t>
    </rPh>
    <phoneticPr fontId="12"/>
  </si>
  <si>
    <t>＜ 建築工事　工事価格 ＞</t>
    <rPh sb="2" eb="4">
      <t>ケンチク</t>
    </rPh>
    <rPh sb="4" eb="6">
      <t>コウジ</t>
    </rPh>
    <rPh sb="7" eb="9">
      <t>コウジ</t>
    </rPh>
    <rPh sb="9" eb="11">
      <t>カカク</t>
    </rPh>
    <phoneticPr fontId="12"/>
  </si>
  <si>
    <t>ｍ</t>
    <phoneticPr fontId="12"/>
  </si>
  <si>
    <t xml:space="preserve">変 更 前 </t>
    <rPh sb="0" eb="1">
      <t>ヘン</t>
    </rPh>
    <rPh sb="2" eb="3">
      <t>サラ</t>
    </rPh>
    <rPh sb="4" eb="5">
      <t>マエ</t>
    </rPh>
    <phoneticPr fontId="12"/>
  </si>
  <si>
    <t xml:space="preserve"> 円</t>
    <rPh sb="1" eb="2">
      <t>エン</t>
    </rPh>
    <phoneticPr fontId="12"/>
  </si>
  <si>
    <t>一般管理費</t>
    <rPh sb="0" eb="2">
      <t>イッパン</t>
    </rPh>
    <rPh sb="2" eb="5">
      <t>カンリヒ</t>
    </rPh>
    <phoneticPr fontId="12"/>
  </si>
  <si>
    <t>出 来 高</t>
    <rPh sb="0" eb="1">
      <t>デ</t>
    </rPh>
    <rPh sb="2" eb="3">
      <t>キ</t>
    </rPh>
    <rPh sb="4" eb="5">
      <t>タカ</t>
    </rPh>
    <phoneticPr fontId="12"/>
  </si>
  <si>
    <t>調 整 額</t>
    <rPh sb="0" eb="1">
      <t>チョウ</t>
    </rPh>
    <rPh sb="2" eb="3">
      <t>ヒトシ</t>
    </rPh>
    <rPh sb="4" eb="5">
      <t>ガク</t>
    </rPh>
    <phoneticPr fontId="12"/>
  </si>
  <si>
    <t>未　調　整　額</t>
    <rPh sb="0" eb="1">
      <t>ミ</t>
    </rPh>
    <rPh sb="2" eb="3">
      <t>チョウ</t>
    </rPh>
    <rPh sb="4" eb="5">
      <t>ヒトシ</t>
    </rPh>
    <rPh sb="6" eb="7">
      <t>ガク</t>
    </rPh>
    <phoneticPr fontId="12"/>
  </si>
  <si>
    <t>工事価格</t>
    <rPh sb="0" eb="2">
      <t>コウジ</t>
    </rPh>
    <rPh sb="2" eb="4">
      <t>カカク</t>
    </rPh>
    <phoneticPr fontId="12"/>
  </si>
  <si>
    <t xml:space="preserve">非 補 助　(H11) </t>
  </si>
  <si>
    <t xml:space="preserve">補　助　 (H11) </t>
  </si>
  <si>
    <t>未調整工事価格(製作価格除く)</t>
    <rPh sb="0" eb="1">
      <t>ミ</t>
    </rPh>
    <rPh sb="8" eb="10">
      <t>セイサク</t>
    </rPh>
    <rPh sb="10" eb="12">
      <t>カカク</t>
    </rPh>
    <rPh sb="12" eb="13">
      <t>ノゾ</t>
    </rPh>
    <phoneticPr fontId="12"/>
  </si>
  <si>
    <t>数　量</t>
    <phoneticPr fontId="12"/>
  </si>
  <si>
    <t>変更設計時　金額調整</t>
    <rPh sb="0" eb="2">
      <t>ヘンコウ</t>
    </rPh>
    <rPh sb="2" eb="4">
      <t>セッケイ</t>
    </rPh>
    <rPh sb="4" eb="5">
      <t>ジ</t>
    </rPh>
    <rPh sb="6" eb="8">
      <t>キンガク</t>
    </rPh>
    <rPh sb="8" eb="10">
      <t>チョウセイ</t>
    </rPh>
    <phoneticPr fontId="12"/>
  </si>
  <si>
    <t xml:space="preserve"> 0=無し　1=有り</t>
    <rPh sb="3" eb="4">
      <t>ナ</t>
    </rPh>
    <rPh sb="8" eb="9">
      <t>ア</t>
    </rPh>
    <phoneticPr fontId="12"/>
  </si>
  <si>
    <t xml:space="preserve"> 別紙工事価格</t>
    <rPh sb="5" eb="7">
      <t>カカク</t>
    </rPh>
    <phoneticPr fontId="12"/>
  </si>
  <si>
    <t>面</t>
  </si>
  <si>
    <t>動 力 制 御 盤</t>
  </si>
  <si>
    <t>の</t>
    <phoneticPr fontId="12"/>
  </si>
  <si>
    <t>そ</t>
    <phoneticPr fontId="12"/>
  </si>
  <si>
    <t>共通仮設費乗率(電気)</t>
    <phoneticPr fontId="12"/>
  </si>
  <si>
    <t>間接労務</t>
    <phoneticPr fontId="12"/>
  </si>
  <si>
    <t>現場管理費乗率(電気)</t>
    <phoneticPr fontId="12"/>
  </si>
  <si>
    <t>【電気設備】</t>
    <phoneticPr fontId="12"/>
  </si>
  <si>
    <t>　運　搬　費　工　事　費　明　細　書　</t>
    <rPh sb="1" eb="6">
      <t>ウンパンヒ</t>
    </rPh>
    <phoneticPr fontId="6"/>
  </si>
  <si>
    <t>運　搬　費</t>
    <rPh sb="0" eb="1">
      <t>ウン</t>
    </rPh>
    <rPh sb="2" eb="3">
      <t>ハコ</t>
    </rPh>
    <rPh sb="4" eb="5">
      <t>ヒ</t>
    </rPh>
    <phoneticPr fontId="6"/>
  </si>
  <si>
    <t>運搬費</t>
    <phoneticPr fontId="12"/>
  </si>
  <si>
    <t>電 気 設 備 工 事</t>
    <phoneticPr fontId="12"/>
  </si>
  <si>
    <t>　電　気　設　備　製　作　工　　数　量　総　括　表　</t>
    <phoneticPr fontId="12"/>
  </si>
  <si>
    <t>　電　気　設　備　製　作　工　　工　事　価　格　明　細　書　</t>
    <rPh sb="20" eb="21">
      <t>アタイ</t>
    </rPh>
    <rPh sb="22" eb="23">
      <t>カク</t>
    </rPh>
    <phoneticPr fontId="12"/>
  </si>
  <si>
    <t>組</t>
    <rPh sb="0" eb="1">
      <t>クミ</t>
    </rPh>
    <phoneticPr fontId="12"/>
  </si>
  <si>
    <t>電　　　　　線</t>
    <phoneticPr fontId="12"/>
  </si>
  <si>
    <t>地中</t>
    <rPh sb="0" eb="2">
      <t>チチュウ</t>
    </rPh>
    <phoneticPr fontId="12"/>
  </si>
  <si>
    <t>　波付硬質</t>
    <rPh sb="1" eb="2">
      <t>ナミ</t>
    </rPh>
    <rPh sb="2" eb="3">
      <t>ツキ</t>
    </rPh>
    <rPh sb="3" eb="5">
      <t>コウシツ</t>
    </rPh>
    <phoneticPr fontId="12"/>
  </si>
  <si>
    <t>ポリエチレン管　</t>
    <rPh sb="6" eb="7">
      <t>カン</t>
    </rPh>
    <phoneticPr fontId="12"/>
  </si>
  <si>
    <t>ー</t>
    <phoneticPr fontId="12"/>
  </si>
  <si>
    <t>ｍ</t>
    <phoneticPr fontId="12"/>
  </si>
  <si>
    <t>土　　　工</t>
    <rPh sb="0" eb="1">
      <t>ド</t>
    </rPh>
    <rPh sb="4" eb="5">
      <t>コウ</t>
    </rPh>
    <phoneticPr fontId="12"/>
  </si>
  <si>
    <t>埋　　　　　戻</t>
    <rPh sb="0" eb="1">
      <t>ウ</t>
    </rPh>
    <rPh sb="6" eb="7">
      <t>モド</t>
    </rPh>
    <phoneticPr fontId="12"/>
  </si>
  <si>
    <t>砂　利　地　業</t>
    <phoneticPr fontId="12"/>
  </si>
  <si>
    <t>ﾊﾞｯｸﾎｳ0.45</t>
    <phoneticPr fontId="12"/>
  </si>
  <si>
    <t>ﾊﾞｯｸﾎｳ0.45 + ｺﾝﾊﾟｸﾀⅠ</t>
    <phoneticPr fontId="12"/>
  </si>
  <si>
    <t>　耐衝撃性</t>
    <phoneticPr fontId="12"/>
  </si>
  <si>
    <t>硬質ビニル電線管　</t>
    <rPh sb="5" eb="7">
      <t>デンセン</t>
    </rPh>
    <phoneticPr fontId="12"/>
  </si>
  <si>
    <t>土</t>
    <rPh sb="0" eb="1">
      <t>ド</t>
    </rPh>
    <phoneticPr fontId="12"/>
  </si>
  <si>
    <t>ラック・ダクト類</t>
    <rPh sb="7" eb="8">
      <t>ルイ</t>
    </rPh>
    <phoneticPr fontId="12"/>
  </si>
  <si>
    <t>アルミ製</t>
    <phoneticPr fontId="12"/>
  </si>
  <si>
    <t>プ ル ボ ッ ク ス</t>
    <phoneticPr fontId="12"/>
  </si>
  <si>
    <t>基　面　整　正</t>
    <rPh sb="0" eb="1">
      <t>モト</t>
    </rPh>
    <rPh sb="2" eb="3">
      <t>メン</t>
    </rPh>
    <rPh sb="4" eb="5">
      <t>セイ</t>
    </rPh>
    <rPh sb="6" eb="7">
      <t>セイ</t>
    </rPh>
    <phoneticPr fontId="12"/>
  </si>
  <si>
    <t>機械掘削面</t>
    <rPh sb="0" eb="2">
      <t>キカイ</t>
    </rPh>
    <rPh sb="2" eb="4">
      <t>クッサク</t>
    </rPh>
    <rPh sb="4" eb="5">
      <t>メン</t>
    </rPh>
    <phoneticPr fontId="12"/>
  </si>
  <si>
    <t>類</t>
    <rPh sb="0" eb="1">
      <t>ルイ</t>
    </rPh>
    <phoneticPr fontId="12"/>
  </si>
  <si>
    <t>電気設備据付工</t>
    <phoneticPr fontId="12"/>
  </si>
  <si>
    <t>　耐衝撃性硬質</t>
    <phoneticPr fontId="12"/>
  </si>
  <si>
    <t>ビニル電線管　</t>
    <rPh sb="3" eb="5">
      <t>デンセン</t>
    </rPh>
    <phoneticPr fontId="12"/>
  </si>
  <si>
    <t>★</t>
    <phoneticPr fontId="12"/>
  </si>
  <si>
    <t>　電 気 設 備 ( 電 話 設 備 ) 工　　数　量　総　括　表　</t>
    <rPh sb="11" eb="12">
      <t>デン</t>
    </rPh>
    <rPh sb="13" eb="14">
      <t>ハナシ</t>
    </rPh>
    <rPh sb="15" eb="16">
      <t>セツ</t>
    </rPh>
    <rPh sb="17" eb="18">
      <t>ビ</t>
    </rPh>
    <phoneticPr fontId="12"/>
  </si>
  <si>
    <t>　電 気 設 備 ( 電 話 設 備 ) 工　　直 接 工 事 費 明 細 書　</t>
    <rPh sb="11" eb="12">
      <t>デン</t>
    </rPh>
    <rPh sb="13" eb="14">
      <t>ハナシ</t>
    </rPh>
    <rPh sb="15" eb="16">
      <t>セツ</t>
    </rPh>
    <rPh sb="17" eb="18">
      <t>ビ</t>
    </rPh>
    <phoneticPr fontId="12"/>
  </si>
  <si>
    <t>ケ</t>
    <phoneticPr fontId="12"/>
  </si>
  <si>
    <t>ー</t>
    <phoneticPr fontId="12"/>
  </si>
  <si>
    <t>ブ</t>
    <phoneticPr fontId="12"/>
  </si>
  <si>
    <t>ル</t>
    <phoneticPr fontId="12"/>
  </si>
  <si>
    <t>電気設備(電話)</t>
    <rPh sb="5" eb="7">
      <t>デンワ</t>
    </rPh>
    <phoneticPr fontId="12"/>
  </si>
  <si>
    <t>HIVE (22)</t>
    <phoneticPr fontId="12"/>
  </si>
  <si>
    <t>HIVE (28)</t>
    <phoneticPr fontId="12"/>
  </si>
  <si>
    <t>HIVE (36)</t>
    <phoneticPr fontId="12"/>
  </si>
  <si>
    <t>HIVE (22)</t>
    <phoneticPr fontId="12"/>
  </si>
  <si>
    <t>HIVE (54)</t>
    <phoneticPr fontId="12"/>
  </si>
  <si>
    <t>FEP  (30)</t>
    <phoneticPr fontId="12"/>
  </si>
  <si>
    <t>台</t>
    <rPh sb="0" eb="1">
      <t>ダイ</t>
    </rPh>
    <phoneticPr fontId="8"/>
  </si>
  <si>
    <t>電気設備(屋外)</t>
    <rPh sb="5" eb="7">
      <t>オクガイ</t>
    </rPh>
    <phoneticPr fontId="8"/>
  </si>
  <si>
    <t>HIVE (16)</t>
    <phoneticPr fontId="12"/>
  </si>
  <si>
    <t>照　明　器　具</t>
    <phoneticPr fontId="12"/>
  </si>
  <si>
    <t>埋込コンセント</t>
    <rPh sb="0" eb="1">
      <t>ウ</t>
    </rPh>
    <rPh sb="1" eb="2">
      <t>コ</t>
    </rPh>
    <phoneticPr fontId="12"/>
  </si>
  <si>
    <t>台</t>
    <rPh sb="0" eb="1">
      <t>ダイ</t>
    </rPh>
    <phoneticPr fontId="12"/>
  </si>
  <si>
    <t>★</t>
    <phoneticPr fontId="12"/>
  </si>
  <si>
    <t>　電 気 設 備 ( 屋 外 照 明 設 備 ) 工　　数　量　総　括　表　</t>
    <rPh sb="11" eb="12">
      <t>ヤ</t>
    </rPh>
    <rPh sb="13" eb="14">
      <t>ソト</t>
    </rPh>
    <rPh sb="15" eb="16">
      <t>アキラ</t>
    </rPh>
    <rPh sb="17" eb="18">
      <t>メイ</t>
    </rPh>
    <rPh sb="19" eb="20">
      <t>セツ</t>
    </rPh>
    <rPh sb="21" eb="22">
      <t>ビ</t>
    </rPh>
    <phoneticPr fontId="8"/>
  </si>
  <si>
    <t>　電 気 設 備 ( 屋 外 照 明 設 備 ) 工　　直 接 工 事 費 明 細 書　</t>
    <rPh sb="11" eb="12">
      <t>ヤ</t>
    </rPh>
    <rPh sb="13" eb="14">
      <t>ソト</t>
    </rPh>
    <rPh sb="15" eb="16">
      <t>アキラ</t>
    </rPh>
    <rPh sb="17" eb="18">
      <t>メイ</t>
    </rPh>
    <rPh sb="19" eb="20">
      <t>セツ</t>
    </rPh>
    <rPh sb="21" eb="22">
      <t>ビ</t>
    </rPh>
    <phoneticPr fontId="8"/>
  </si>
  <si>
    <t>屋内埋込</t>
    <rPh sb="0" eb="2">
      <t>オクナイ</t>
    </rPh>
    <rPh sb="2" eb="3">
      <t>マイ</t>
    </rPh>
    <rPh sb="3" eb="4">
      <t>コミ</t>
    </rPh>
    <phoneticPr fontId="8"/>
  </si>
  <si>
    <t>PF-S (22)</t>
    <phoneticPr fontId="12"/>
  </si>
  <si>
    <t>PF-S (28)</t>
    <phoneticPr fontId="12"/>
  </si>
  <si>
    <t>　 〃</t>
    <phoneticPr fontId="8"/>
  </si>
  <si>
    <t>アウトレットボックス</t>
    <phoneticPr fontId="8"/>
  </si>
  <si>
    <t>ｍ</t>
    <phoneticPr fontId="8"/>
  </si>
  <si>
    <t>可とう電線管　</t>
    <rPh sb="0" eb="1">
      <t>カ</t>
    </rPh>
    <rPh sb="3" eb="5">
      <t>デンセン</t>
    </rPh>
    <rPh sb="5" eb="6">
      <t>カン</t>
    </rPh>
    <phoneticPr fontId="8"/>
  </si>
  <si>
    <t>　電 気 設 備 ( 土 木 工 事 ) 工　　直 接 工 事 費 明 細 書　</t>
    <rPh sb="11" eb="12">
      <t>ツチ</t>
    </rPh>
    <rPh sb="13" eb="14">
      <t>キ</t>
    </rPh>
    <rPh sb="15" eb="16">
      <t>タクミ</t>
    </rPh>
    <rPh sb="17" eb="18">
      <t>コト</t>
    </rPh>
    <phoneticPr fontId="8"/>
  </si>
  <si>
    <t>　電 気 設 備 ( 土 木 工 事 ) 工　　数　量　総　括　表　</t>
    <rPh sb="11" eb="12">
      <t>ツチ</t>
    </rPh>
    <rPh sb="13" eb="14">
      <t>キ</t>
    </rPh>
    <rPh sb="15" eb="16">
      <t>タクミ</t>
    </rPh>
    <rPh sb="17" eb="18">
      <t>コト</t>
    </rPh>
    <phoneticPr fontId="8"/>
  </si>
  <si>
    <t>電気設備(土木工事)</t>
    <rPh sb="5" eb="7">
      <t>ドボク</t>
    </rPh>
    <rPh sb="7" eb="9">
      <t>コウジ</t>
    </rPh>
    <phoneticPr fontId="8"/>
  </si>
  <si>
    <t>　電 気 設 備 ( 建 築 工 事 ) 工　　数　量　総　括　表　</t>
    <rPh sb="11" eb="12">
      <t>タツル</t>
    </rPh>
    <rPh sb="13" eb="14">
      <t>チク</t>
    </rPh>
    <rPh sb="15" eb="16">
      <t>タクミ</t>
    </rPh>
    <rPh sb="17" eb="18">
      <t>コト</t>
    </rPh>
    <phoneticPr fontId="8"/>
  </si>
  <si>
    <t>　電 気 設 備 ( 建 築 工 事 ) 工　　直 接 工 事 費 明 細 書　</t>
    <rPh sb="11" eb="12">
      <t>タツル</t>
    </rPh>
    <rPh sb="13" eb="14">
      <t>チク</t>
    </rPh>
    <rPh sb="15" eb="16">
      <t>タクミ</t>
    </rPh>
    <rPh sb="17" eb="18">
      <t>コト</t>
    </rPh>
    <phoneticPr fontId="8"/>
  </si>
  <si>
    <t>電気設備(建築工事)</t>
    <rPh sb="5" eb="7">
      <t>ケンチク</t>
    </rPh>
    <rPh sb="7" eb="9">
      <t>コウジ</t>
    </rPh>
    <phoneticPr fontId="8"/>
  </si>
  <si>
    <t>　電気設備据付</t>
    <phoneticPr fontId="12"/>
  </si>
  <si>
    <t>電気設備製作工</t>
    <phoneticPr fontId="12"/>
  </si>
  <si>
    <t>　電 気 設 備 据 付 工 事 　　工 事 価 格 明 細 書　</t>
    <rPh sb="19" eb="20">
      <t>タクミ</t>
    </rPh>
    <rPh sb="21" eb="22">
      <t>コト</t>
    </rPh>
    <rPh sb="23" eb="24">
      <t>アタイ</t>
    </rPh>
    <phoneticPr fontId="12"/>
  </si>
  <si>
    <t>コンクリート柱</t>
    <phoneticPr fontId="12"/>
  </si>
  <si>
    <t>RX010760</t>
    <phoneticPr fontId="8"/>
  </si>
  <si>
    <t>VE (16)</t>
    <phoneticPr fontId="12"/>
  </si>
  <si>
    <t>支　線　工</t>
    <rPh sb="0" eb="1">
      <t>ササ</t>
    </rPh>
    <rPh sb="2" eb="3">
      <t>セン</t>
    </rPh>
    <rPh sb="4" eb="5">
      <t>コウ</t>
    </rPh>
    <phoneticPr fontId="12"/>
  </si>
  <si>
    <t>根　　か　　せ</t>
    <rPh sb="0" eb="1">
      <t>ネ</t>
    </rPh>
    <phoneticPr fontId="12"/>
  </si>
  <si>
    <t>Ｂ型　バンド付</t>
    <rPh sb="1" eb="2">
      <t>カタ</t>
    </rPh>
    <rPh sb="6" eb="7">
      <t>ツキ</t>
    </rPh>
    <phoneticPr fontId="12"/>
  </si>
  <si>
    <t>自 在 バ ン ド</t>
    <rPh sb="0" eb="1">
      <t>ジ</t>
    </rPh>
    <rPh sb="2" eb="3">
      <t>ザイ</t>
    </rPh>
    <phoneticPr fontId="12"/>
  </si>
  <si>
    <t>IBT-212</t>
    <phoneticPr fontId="12"/>
  </si>
  <si>
    <t>足 場 ボ ル ト</t>
    <rPh sb="0" eb="1">
      <t>アシ</t>
    </rPh>
    <rPh sb="2" eb="3">
      <t>バ</t>
    </rPh>
    <phoneticPr fontId="12"/>
  </si>
  <si>
    <t>CP用</t>
    <rPh sb="2" eb="3">
      <t>ヨウ</t>
    </rPh>
    <phoneticPr fontId="12"/>
  </si>
  <si>
    <t>ステーブロック</t>
    <phoneticPr fontId="12"/>
  </si>
  <si>
    <t>亜鉛引鋼より線</t>
    <rPh sb="0" eb="2">
      <t>アエン</t>
    </rPh>
    <rPh sb="2" eb="3">
      <t>ヒ</t>
    </rPh>
    <rPh sb="3" eb="4">
      <t>コウ</t>
    </rPh>
    <rPh sb="6" eb="7">
      <t>セン</t>
    </rPh>
    <phoneticPr fontId="12"/>
  </si>
  <si>
    <t>巻付けクリップ</t>
    <rPh sb="0" eb="2">
      <t>マキツ</t>
    </rPh>
    <phoneticPr fontId="12"/>
  </si>
  <si>
    <t>シ　ン　ブ　ル</t>
    <phoneticPr fontId="12"/>
  </si>
  <si>
    <t>支 線 ガ ー ド</t>
    <rPh sb="0" eb="1">
      <t>ササ</t>
    </rPh>
    <rPh sb="2" eb="3">
      <t>セン</t>
    </rPh>
    <phoneticPr fontId="12"/>
  </si>
  <si>
    <t>3BD-HC-12</t>
    <phoneticPr fontId="12"/>
  </si>
  <si>
    <t>kg</t>
    <phoneticPr fontId="12"/>
  </si>
  <si>
    <t>支</t>
    <rPh sb="0" eb="1">
      <t>シ</t>
    </rPh>
    <phoneticPr fontId="12"/>
  </si>
  <si>
    <t>集排指針(H15) P97</t>
    <phoneticPr fontId="8"/>
  </si>
  <si>
    <t>面</t>
    <phoneticPr fontId="12"/>
  </si>
  <si>
    <t>浮子転倒式　合成樹脂製</t>
    <rPh sb="6" eb="8">
      <t>ゴウセイ</t>
    </rPh>
    <phoneticPr fontId="12"/>
  </si>
  <si>
    <t>　電　気　設　備　据　付　工　　数　量　総　括　表　</t>
    <phoneticPr fontId="12"/>
  </si>
  <si>
    <t>　電 気 設 備 据 付 工 事　　直 接 工 事 費 明 細 書　</t>
    <phoneticPr fontId="12"/>
  </si>
  <si>
    <t>　電　気　設　備　工　事 　　工　事　価　格　明　細　書　</t>
    <phoneticPr fontId="12"/>
  </si>
  <si>
    <t>製</t>
    <rPh sb="0" eb="1">
      <t>セイ</t>
    </rPh>
    <phoneticPr fontId="12"/>
  </si>
  <si>
    <t>作</t>
    <rPh sb="0" eb="1">
      <t>サク</t>
    </rPh>
    <phoneticPr fontId="12"/>
  </si>
  <si>
    <t>屋内自立型 鋼板製</t>
  </si>
  <si>
    <t>屋内自立型 鋼板製 INV</t>
  </si>
  <si>
    <t>屋内壁掛型　鋼板製</t>
  </si>
  <si>
    <t>受 電 設 備</t>
    <rPh sb="0" eb="1">
      <t>ウケ</t>
    </rPh>
    <rPh sb="2" eb="3">
      <t>デン</t>
    </rPh>
    <rPh sb="4" eb="5">
      <t>セツ</t>
    </rPh>
    <rPh sb="6" eb="7">
      <t>ビ</t>
    </rPh>
    <phoneticPr fontId="8"/>
  </si>
  <si>
    <t>受</t>
    <rPh sb="0" eb="1">
      <t>ジュ</t>
    </rPh>
    <phoneticPr fontId="8"/>
  </si>
  <si>
    <t>電 話 設 備</t>
    <rPh sb="0" eb="1">
      <t>デン</t>
    </rPh>
    <rPh sb="2" eb="3">
      <t>ハナシ</t>
    </rPh>
    <rPh sb="4" eb="5">
      <t>セツ</t>
    </rPh>
    <rPh sb="6" eb="7">
      <t>ソナエ</t>
    </rPh>
    <phoneticPr fontId="8"/>
  </si>
  <si>
    <t>話</t>
    <rPh sb="0" eb="1">
      <t>ワ</t>
    </rPh>
    <phoneticPr fontId="8"/>
  </si>
  <si>
    <t>埋込四角中浅型</t>
    <rPh sb="0" eb="1">
      <t>ウ</t>
    </rPh>
    <rPh sb="1" eb="2">
      <t>コ</t>
    </rPh>
    <rPh sb="2" eb="4">
      <t>シカク</t>
    </rPh>
    <rPh sb="4" eb="5">
      <t>ナカ</t>
    </rPh>
    <rPh sb="5" eb="6">
      <t>アサ</t>
    </rPh>
    <rPh sb="6" eb="7">
      <t>ガタ</t>
    </rPh>
    <phoneticPr fontId="8"/>
  </si>
  <si>
    <t>屋外照明設備</t>
    <rPh sb="0" eb="2">
      <t>オクガイ</t>
    </rPh>
    <rPh sb="2" eb="4">
      <t>ショウメイ</t>
    </rPh>
    <rPh sb="4" eb="5">
      <t>セツ</t>
    </rPh>
    <rPh sb="5" eb="6">
      <t>ビ</t>
    </rPh>
    <phoneticPr fontId="12"/>
  </si>
  <si>
    <t>屋</t>
    <rPh sb="0" eb="1">
      <t>ヤ</t>
    </rPh>
    <phoneticPr fontId="8"/>
  </si>
  <si>
    <t>照</t>
    <rPh sb="0" eb="1">
      <t>テラシ</t>
    </rPh>
    <phoneticPr fontId="8"/>
  </si>
  <si>
    <t>明</t>
    <rPh sb="0" eb="1">
      <t>メイ</t>
    </rPh>
    <phoneticPr fontId="8"/>
  </si>
  <si>
    <t>PF-S (16)</t>
    <phoneticPr fontId="12"/>
  </si>
  <si>
    <t>　合成樹脂製</t>
    <rPh sb="1" eb="3">
      <t>ゴウセイ</t>
    </rPh>
    <rPh sb="3" eb="6">
      <t>ジュシセイ</t>
    </rPh>
    <phoneticPr fontId="8"/>
  </si>
  <si>
    <t>電 灯 設 備</t>
    <rPh sb="0" eb="1">
      <t>デン</t>
    </rPh>
    <rPh sb="2" eb="3">
      <t>ヒ</t>
    </rPh>
    <rPh sb="4" eb="5">
      <t>セツ</t>
    </rPh>
    <rPh sb="6" eb="7">
      <t>ソナエ</t>
    </rPh>
    <phoneticPr fontId="8"/>
  </si>
  <si>
    <t>PE   (36)</t>
    <phoneticPr fontId="12"/>
  </si>
  <si>
    <t>地　　中</t>
    <rPh sb="0" eb="1">
      <t>チ</t>
    </rPh>
    <rPh sb="3" eb="4">
      <t>ナカ</t>
    </rPh>
    <phoneticPr fontId="12"/>
  </si>
  <si>
    <t xml:space="preserve"> 　〃</t>
    <phoneticPr fontId="12"/>
  </si>
  <si>
    <t>ッ</t>
    <phoneticPr fontId="12"/>
  </si>
  <si>
    <t>PE   (28)</t>
    <phoneticPr fontId="12"/>
  </si>
  <si>
    <t>電　話　端　子</t>
    <rPh sb="0" eb="1">
      <t>デン</t>
    </rPh>
    <rPh sb="2" eb="3">
      <t>ハナシ</t>
    </rPh>
    <rPh sb="4" eb="5">
      <t>ハシ</t>
    </rPh>
    <rPh sb="6" eb="7">
      <t>コ</t>
    </rPh>
    <phoneticPr fontId="12"/>
  </si>
  <si>
    <t>モジュラージャック</t>
    <phoneticPr fontId="12"/>
  </si>
  <si>
    <t>・</t>
    <phoneticPr fontId="8"/>
  </si>
  <si>
    <t>ケ</t>
    <phoneticPr fontId="8"/>
  </si>
  <si>
    <t>ー</t>
    <phoneticPr fontId="8"/>
  </si>
  <si>
    <t>灯　　　　　具</t>
    <rPh sb="0" eb="1">
      <t>トウ</t>
    </rPh>
    <rPh sb="6" eb="7">
      <t>グ</t>
    </rPh>
    <phoneticPr fontId="8"/>
  </si>
  <si>
    <t>自 動 点 滅 器</t>
    <phoneticPr fontId="8"/>
  </si>
  <si>
    <t>スイッチボックス</t>
    <phoneticPr fontId="12"/>
  </si>
  <si>
    <t>200□×100</t>
    <phoneticPr fontId="12"/>
  </si>
  <si>
    <t>　 〃</t>
    <phoneticPr fontId="12"/>
  </si>
  <si>
    <t>ブ</t>
    <phoneticPr fontId="8"/>
  </si>
  <si>
    <t>ル</t>
    <phoneticPr fontId="8"/>
  </si>
  <si>
    <t>PF-S (16)</t>
    <phoneticPr fontId="12"/>
  </si>
  <si>
    <t>HIVE (36)</t>
    <phoneticPr fontId="12"/>
  </si>
  <si>
    <t>PF-S (22)</t>
    <phoneticPr fontId="12"/>
  </si>
  <si>
    <t>「土地改良事業等請負工事の価格積算要綱・同積算基準」その他土木工事(1)より</t>
    <rPh sb="1" eb="3">
      <t>トチ</t>
    </rPh>
    <rPh sb="3" eb="5">
      <t>カイリョウ</t>
    </rPh>
    <rPh sb="5" eb="7">
      <t>ジギョウ</t>
    </rPh>
    <rPh sb="7" eb="8">
      <t>トウ</t>
    </rPh>
    <rPh sb="8" eb="10">
      <t>ウケオイ</t>
    </rPh>
    <rPh sb="10" eb="12">
      <t>コウジ</t>
    </rPh>
    <rPh sb="13" eb="15">
      <t>カカク</t>
    </rPh>
    <rPh sb="15" eb="17">
      <t>セキサン</t>
    </rPh>
    <rPh sb="17" eb="19">
      <t>ヨウコウ</t>
    </rPh>
    <rPh sb="20" eb="21">
      <t>ドウ</t>
    </rPh>
    <rPh sb="21" eb="23">
      <t>セキサン</t>
    </rPh>
    <rPh sb="23" eb="25">
      <t>キジュン</t>
    </rPh>
    <rPh sb="28" eb="29">
      <t>タ</t>
    </rPh>
    <rPh sb="29" eb="31">
      <t>ドボク</t>
    </rPh>
    <rPh sb="31" eb="33">
      <t>コウジ</t>
    </rPh>
    <phoneticPr fontId="12"/>
  </si>
  <si>
    <t>　交通の影響無 ＝ ４</t>
    <phoneticPr fontId="12"/>
  </si>
  <si>
    <t>電気設備製作</t>
    <rPh sb="0" eb="2">
      <t>デンキ</t>
    </rPh>
    <rPh sb="2" eb="4">
      <t>セツビ</t>
    </rPh>
    <rPh sb="4" eb="6">
      <t>セイサク</t>
    </rPh>
    <phoneticPr fontId="12"/>
  </si>
  <si>
    <t>電 話 端 子 盤</t>
    <rPh sb="0" eb="1">
      <t>デン</t>
    </rPh>
    <rPh sb="2" eb="3">
      <t>ハナシ</t>
    </rPh>
    <rPh sb="4" eb="5">
      <t>タン</t>
    </rPh>
    <rPh sb="6" eb="7">
      <t>コ</t>
    </rPh>
    <rPh sb="8" eb="9">
      <t>バン</t>
    </rPh>
    <phoneticPr fontId="12"/>
  </si>
  <si>
    <t>面</t>
    <rPh sb="0" eb="1">
      <t>メン</t>
    </rPh>
    <phoneticPr fontId="12"/>
  </si>
  <si>
    <t>2線式変換器一体型</t>
    <rPh sb="1" eb="2">
      <t>セン</t>
    </rPh>
    <rPh sb="2" eb="3">
      <t>シキ</t>
    </rPh>
    <rPh sb="3" eb="5">
      <t>ヘンカン</t>
    </rPh>
    <rPh sb="5" eb="6">
      <t>キ</t>
    </rPh>
    <rPh sb="6" eb="9">
      <t>イッタイガタ</t>
    </rPh>
    <phoneticPr fontId="2"/>
  </si>
  <si>
    <t>E4-1</t>
    <phoneticPr fontId="12"/>
  </si>
  <si>
    <t>E4-2</t>
    <phoneticPr fontId="12"/>
  </si>
  <si>
    <t>基</t>
    <rPh sb="0" eb="1">
      <t>キ</t>
    </rPh>
    <phoneticPr fontId="12"/>
  </si>
  <si>
    <t>E22-1</t>
    <phoneticPr fontId="12"/>
  </si>
  <si>
    <t>県単価</t>
    <rPh sb="0" eb="1">
      <t>ケン</t>
    </rPh>
    <rPh sb="1" eb="3">
      <t>タンカ</t>
    </rPh>
    <phoneticPr fontId="6"/>
  </si>
  <si>
    <t>5-52</t>
    <phoneticPr fontId="6"/>
  </si>
  <si>
    <t>ｍ</t>
    <phoneticPr fontId="12"/>
  </si>
  <si>
    <t>端 末 処 理 材</t>
    <rPh sb="0" eb="1">
      <t>タン</t>
    </rPh>
    <rPh sb="2" eb="3">
      <t>スエ</t>
    </rPh>
    <rPh sb="4" eb="5">
      <t>ショ</t>
    </rPh>
    <rPh sb="6" eb="7">
      <t>リ</t>
    </rPh>
    <rPh sb="8" eb="9">
      <t>ザイ</t>
    </rPh>
    <phoneticPr fontId="12"/>
  </si>
  <si>
    <t>HIVE (70)</t>
    <phoneticPr fontId="12"/>
  </si>
  <si>
    <t>ポ ー ル 底 版</t>
    <rPh sb="6" eb="7">
      <t>テイ</t>
    </rPh>
    <rPh sb="8" eb="9">
      <t>バン</t>
    </rPh>
    <phoneticPr fontId="12"/>
  </si>
  <si>
    <t>丸形22㎜</t>
    <rPh sb="0" eb="1">
      <t>マル</t>
    </rPh>
    <rPh sb="1" eb="2">
      <t>カタチ</t>
    </rPh>
    <phoneticPr fontId="12"/>
  </si>
  <si>
    <t>電　話　端　子</t>
    <rPh sb="0" eb="1">
      <t>デン</t>
    </rPh>
    <rPh sb="2" eb="3">
      <t>ハナシ</t>
    </rPh>
    <rPh sb="4" eb="5">
      <t>タン</t>
    </rPh>
    <rPh sb="6" eb="7">
      <t>コ</t>
    </rPh>
    <phoneticPr fontId="12"/>
  </si>
  <si>
    <t>ﾓｼﾞｭﾗｰｼﾞｬｯｸ</t>
    <phoneticPr fontId="12"/>
  </si>
  <si>
    <t>6極2芯</t>
    <rPh sb="1" eb="2">
      <t>キョク</t>
    </rPh>
    <rPh sb="3" eb="4">
      <t>シン</t>
    </rPh>
    <phoneticPr fontId="12"/>
  </si>
  <si>
    <t>接 地 埋 設 標</t>
    <rPh sb="0" eb="1">
      <t>セツ</t>
    </rPh>
    <rPh sb="2" eb="3">
      <t>チ</t>
    </rPh>
    <rPh sb="4" eb="5">
      <t>マイ</t>
    </rPh>
    <rPh sb="6" eb="7">
      <t>セツ</t>
    </rPh>
    <rPh sb="8" eb="9">
      <t>ヒョウ</t>
    </rPh>
    <phoneticPr fontId="12"/>
  </si>
  <si>
    <t>掘　　　　　削</t>
    <rPh sb="0" eb="1">
      <t>ホ</t>
    </rPh>
    <rPh sb="6" eb="7">
      <t>サク</t>
    </rPh>
    <phoneticPr fontId="12"/>
  </si>
  <si>
    <t>建</t>
    <rPh sb="0" eb="1">
      <t>ケン</t>
    </rPh>
    <phoneticPr fontId="12"/>
  </si>
  <si>
    <t>ハンドホール据付</t>
    <rPh sb="6" eb="8">
      <t>スエツケ</t>
    </rPh>
    <phoneticPr fontId="12"/>
  </si>
  <si>
    <t>2,000㎏/基以下</t>
    <rPh sb="7" eb="8">
      <t>キ</t>
    </rPh>
    <rPh sb="8" eb="10">
      <t>イカ</t>
    </rPh>
    <phoneticPr fontId="12"/>
  </si>
  <si>
    <t>第0003号</t>
    <rPh sb="0" eb="1">
      <t>ダイ</t>
    </rPh>
    <rPh sb="5" eb="6">
      <t>ゴウ</t>
    </rPh>
    <phoneticPr fontId="12"/>
  </si>
  <si>
    <t>　電 気 設 備 ( 動 力 ・ 計 装 設 備 ) 工　　数　量　総　括　表　</t>
    <rPh sb="17" eb="18">
      <t>ケイ</t>
    </rPh>
    <rPh sb="19" eb="20">
      <t>ソウ</t>
    </rPh>
    <phoneticPr fontId="12"/>
  </si>
  <si>
    <t>　電 気 設 備 ( 動 力 ・ 計 装 設 備 ) 工　　直 接 工 事 費 明 細 書　</t>
    <rPh sb="17" eb="18">
      <t>ケイ</t>
    </rPh>
    <rPh sb="19" eb="20">
      <t>ソウ</t>
    </rPh>
    <rPh sb="21" eb="22">
      <t>セツ</t>
    </rPh>
    <phoneticPr fontId="12"/>
  </si>
  <si>
    <t>HIVE (42)</t>
    <phoneticPr fontId="12"/>
  </si>
  <si>
    <t>ラ</t>
    <phoneticPr fontId="12"/>
  </si>
  <si>
    <t>ク</t>
    <phoneticPr fontId="12"/>
  </si>
  <si>
    <t>ダ</t>
    <phoneticPr fontId="12"/>
  </si>
  <si>
    <t>ト</t>
    <phoneticPr fontId="12"/>
  </si>
  <si>
    <t>電気設備(動力・計装)</t>
    <rPh sb="8" eb="10">
      <t>ケイソウ</t>
    </rPh>
    <phoneticPr fontId="12"/>
  </si>
  <si>
    <t>均しコンクリート</t>
    <rPh sb="0" eb="1">
      <t>ナラ</t>
    </rPh>
    <phoneticPr fontId="12"/>
  </si>
  <si>
    <t>動力・計装設備</t>
    <rPh sb="0" eb="1">
      <t>ドウ</t>
    </rPh>
    <rPh sb="1" eb="2">
      <t>チカラ</t>
    </rPh>
    <rPh sb="3" eb="5">
      <t>ケイソウ</t>
    </rPh>
    <rPh sb="5" eb="6">
      <t>セツ</t>
    </rPh>
    <rPh sb="6" eb="7">
      <t>ビ</t>
    </rPh>
    <phoneticPr fontId="8"/>
  </si>
  <si>
    <t>VE (22)</t>
    <phoneticPr fontId="12"/>
  </si>
  <si>
    <t>VE (36)</t>
    <phoneticPr fontId="12"/>
  </si>
  <si>
    <t>硬質ビニル電線管</t>
    <rPh sb="0" eb="2">
      <t>コウシツ</t>
    </rPh>
    <rPh sb="5" eb="7">
      <t>デンセン</t>
    </rPh>
    <phoneticPr fontId="12"/>
  </si>
  <si>
    <t>・</t>
    <phoneticPr fontId="8"/>
  </si>
  <si>
    <t>電灯・ｺﾝｾﾝﾄ設備</t>
    <rPh sb="0" eb="2">
      <t>デントウ</t>
    </rPh>
    <rPh sb="8" eb="9">
      <t>セツ</t>
    </rPh>
    <rPh sb="9" eb="10">
      <t>ビ</t>
    </rPh>
    <phoneticPr fontId="8"/>
  </si>
  <si>
    <t>コンクリートボックス</t>
    <phoneticPr fontId="8"/>
  </si>
  <si>
    <t>スイッチボックス</t>
    <phoneticPr fontId="8"/>
  </si>
  <si>
    <t>電　　　　　工</t>
    <rPh sb="0" eb="1">
      <t>デン</t>
    </rPh>
    <rPh sb="6" eb="7">
      <t>コウ</t>
    </rPh>
    <phoneticPr fontId="8"/>
  </si>
  <si>
    <t>コ</t>
    <phoneticPr fontId="8"/>
  </si>
  <si>
    <t>ン</t>
    <phoneticPr fontId="8"/>
  </si>
  <si>
    <t>セ</t>
    <phoneticPr fontId="8"/>
  </si>
  <si>
    <t>ト</t>
    <phoneticPr fontId="8"/>
  </si>
  <si>
    <t>埋込用</t>
    <rPh sb="0" eb="1">
      <t>ウ</t>
    </rPh>
    <rPh sb="1" eb="2">
      <t>コ</t>
    </rPh>
    <rPh sb="2" eb="3">
      <t>ヨウ</t>
    </rPh>
    <phoneticPr fontId="8"/>
  </si>
  <si>
    <t>四角中浅型</t>
    <rPh sb="0" eb="2">
      <t>シカク</t>
    </rPh>
    <rPh sb="2" eb="3">
      <t>ナカ</t>
    </rPh>
    <rPh sb="3" eb="4">
      <t>アサ</t>
    </rPh>
    <rPh sb="4" eb="5">
      <t>ガタ</t>
    </rPh>
    <phoneticPr fontId="8"/>
  </si>
  <si>
    <t>塩ビ埋込1個用</t>
    <rPh sb="0" eb="1">
      <t>エン</t>
    </rPh>
    <rPh sb="2" eb="3">
      <t>ウ</t>
    </rPh>
    <rPh sb="3" eb="4">
      <t>コ</t>
    </rPh>
    <rPh sb="5" eb="6">
      <t>コ</t>
    </rPh>
    <rPh sb="6" eb="7">
      <t>ヨウ</t>
    </rPh>
    <phoneticPr fontId="8"/>
  </si>
  <si>
    <t>据</t>
    <rPh sb="0" eb="1">
      <t>スエ</t>
    </rPh>
    <phoneticPr fontId="8"/>
  </si>
  <si>
    <t>付</t>
    <rPh sb="0" eb="1">
      <t>ツケ</t>
    </rPh>
    <phoneticPr fontId="8"/>
  </si>
  <si>
    <t>電気設備据付</t>
    <rPh sb="0" eb="1">
      <t>デン</t>
    </rPh>
    <rPh sb="1" eb="2">
      <t>キ</t>
    </rPh>
    <rPh sb="2" eb="3">
      <t>セツ</t>
    </rPh>
    <rPh sb="3" eb="4">
      <t>ビ</t>
    </rPh>
    <rPh sb="4" eb="6">
      <t>スエツケ</t>
    </rPh>
    <phoneticPr fontId="8"/>
  </si>
  <si>
    <t>人</t>
    <rPh sb="0" eb="1">
      <t>ニン</t>
    </rPh>
    <phoneticPr fontId="6"/>
  </si>
  <si>
    <t>屋外壁掛型 SUS製</t>
    <rPh sb="2" eb="3">
      <t>カベ</t>
    </rPh>
    <rPh sb="3" eb="4">
      <t>カ</t>
    </rPh>
    <rPh sb="4" eb="5">
      <t>カタ</t>
    </rPh>
    <phoneticPr fontId="2"/>
  </si>
  <si>
    <t>電磁流量計(流入)</t>
    <rPh sb="0" eb="1">
      <t>デン</t>
    </rPh>
    <rPh sb="1" eb="2">
      <t>ジ</t>
    </rPh>
    <rPh sb="2" eb="3">
      <t>リュウ</t>
    </rPh>
    <rPh sb="3" eb="4">
      <t>リョウ</t>
    </rPh>
    <rPh sb="4" eb="5">
      <t>ケイ</t>
    </rPh>
    <rPh sb="6" eb="8">
      <t>リュウニュウ</t>
    </rPh>
    <phoneticPr fontId="12"/>
  </si>
  <si>
    <t>電磁流量計(汚泥)</t>
    <rPh sb="0" eb="1">
      <t>デン</t>
    </rPh>
    <rPh sb="1" eb="2">
      <t>ジ</t>
    </rPh>
    <rPh sb="2" eb="3">
      <t>リュウ</t>
    </rPh>
    <rPh sb="3" eb="4">
      <t>リョウ</t>
    </rPh>
    <rPh sb="4" eb="5">
      <t>ケイ</t>
    </rPh>
    <rPh sb="6" eb="8">
      <t>オデイ</t>
    </rPh>
    <phoneticPr fontId="12"/>
  </si>
  <si>
    <t>コ ン セ ン ト 盤</t>
    <rPh sb="10" eb="11">
      <t>バン</t>
    </rPh>
    <phoneticPr fontId="12"/>
  </si>
  <si>
    <t>低騒音型ﾃﾞｨｰｾﾞﾙ発電機</t>
    <rPh sb="0" eb="3">
      <t>テイソウオン</t>
    </rPh>
    <rPh sb="3" eb="4">
      <t>ガタ</t>
    </rPh>
    <rPh sb="11" eb="13">
      <t>ハツデン</t>
    </rPh>
    <rPh sb="13" eb="14">
      <t>キ</t>
    </rPh>
    <phoneticPr fontId="12"/>
  </si>
  <si>
    <t>ポ4,流調5,脱離3,</t>
    <rPh sb="3" eb="4">
      <t>リュウ</t>
    </rPh>
    <rPh sb="4" eb="5">
      <t>チョウ</t>
    </rPh>
    <rPh sb="7" eb="8">
      <t>ダツ</t>
    </rPh>
    <rPh sb="8" eb="9">
      <t>リ</t>
    </rPh>
    <phoneticPr fontId="12"/>
  </si>
  <si>
    <t>　電 気 設 備 ( 引 込 設 備 ) 工　　数　量　総　括　表　</t>
    <rPh sb="11" eb="12">
      <t>イン</t>
    </rPh>
    <rPh sb="13" eb="14">
      <t>コミ</t>
    </rPh>
    <rPh sb="15" eb="16">
      <t>セツ</t>
    </rPh>
    <rPh sb="17" eb="18">
      <t>ビ</t>
    </rPh>
    <phoneticPr fontId="12"/>
  </si>
  <si>
    <t>電気設備(引込)</t>
    <rPh sb="5" eb="7">
      <t>ヒキコミ</t>
    </rPh>
    <phoneticPr fontId="12"/>
  </si>
  <si>
    <t>　電 気 設 備 ( 引 込 設 備 ) 工　　直 接 工 事 費 明 細 書　</t>
    <rPh sb="11" eb="12">
      <t>イン</t>
    </rPh>
    <rPh sb="13" eb="14">
      <t>コミ</t>
    </rPh>
    <rPh sb="15" eb="16">
      <t>セツ</t>
    </rPh>
    <rPh sb="17" eb="18">
      <t>ビ</t>
    </rPh>
    <phoneticPr fontId="12"/>
  </si>
  <si>
    <t>上記材料費の105％</t>
    <phoneticPr fontId="12"/>
  </si>
  <si>
    <t>　ポリエチレン</t>
    <phoneticPr fontId="12"/>
  </si>
  <si>
    <t>ライニング鋼管　</t>
    <rPh sb="5" eb="7">
      <t>コウカン</t>
    </rPh>
    <phoneticPr fontId="12"/>
  </si>
  <si>
    <t>FEP  (40)</t>
    <phoneticPr fontId="12"/>
  </si>
  <si>
    <t>FEP (100)</t>
    <phoneticPr fontId="12"/>
  </si>
  <si>
    <t>丸型 №1  φ450㎜</t>
    <rPh sb="0" eb="2">
      <t>マルガタ</t>
    </rPh>
    <phoneticPr fontId="12"/>
  </si>
  <si>
    <t>38㎟</t>
    <phoneticPr fontId="12"/>
  </si>
  <si>
    <t>PVC(黄)2.2m</t>
    <rPh sb="4" eb="5">
      <t>キ</t>
    </rPh>
    <phoneticPr fontId="12"/>
  </si>
  <si>
    <t>1号　ロッド付</t>
    <rPh sb="6" eb="7">
      <t>ツキ</t>
    </rPh>
    <phoneticPr fontId="12"/>
  </si>
  <si>
    <t>接　地　銅　棒</t>
    <rPh sb="0" eb="1">
      <t>セツ</t>
    </rPh>
    <rPh sb="2" eb="3">
      <t>チ</t>
    </rPh>
    <rPh sb="4" eb="5">
      <t>ドウ</t>
    </rPh>
    <rPh sb="6" eb="7">
      <t>ボウ</t>
    </rPh>
    <phoneticPr fontId="12"/>
  </si>
  <si>
    <t>接　地　銅　板</t>
    <rPh sb="0" eb="1">
      <t>セツ</t>
    </rPh>
    <rPh sb="2" eb="3">
      <t>チ</t>
    </rPh>
    <rPh sb="4" eb="5">
      <t>ドウ</t>
    </rPh>
    <rPh sb="6" eb="7">
      <t>バン</t>
    </rPh>
    <phoneticPr fontId="12"/>
  </si>
  <si>
    <t>ED</t>
    <phoneticPr fontId="12"/>
  </si>
  <si>
    <t>900□×900 蓋付</t>
    <rPh sb="9" eb="10">
      <t>フタ</t>
    </rPh>
    <rPh sb="10" eb="11">
      <t>ツキ</t>
    </rPh>
    <phoneticPr fontId="12"/>
  </si>
  <si>
    <t xml:space="preserve">      EM-CEE   2  ㎟ -4C</t>
    <phoneticPr fontId="12"/>
  </si>
  <si>
    <t xml:space="preserve">600V  EM-CET  60  ㎟    </t>
    <phoneticPr fontId="12"/>
  </si>
  <si>
    <t xml:space="preserve">600V  EM-IE    5.5㎟    </t>
    <phoneticPr fontId="12"/>
  </si>
  <si>
    <t xml:space="preserve">600V  EM-IE   14  ㎟    </t>
    <phoneticPr fontId="12"/>
  </si>
  <si>
    <t xml:space="preserve">600V  EM-IE   22  ㎟    </t>
    <phoneticPr fontId="12"/>
  </si>
  <si>
    <t xml:space="preserve">600V　EM-CET  60 ㎟     </t>
    <phoneticPr fontId="12"/>
  </si>
  <si>
    <t>ケーブル　　　　</t>
    <phoneticPr fontId="12"/>
  </si>
  <si>
    <t>　埋設表示シート</t>
    <rPh sb="3" eb="5">
      <t>ヒョウジ</t>
    </rPh>
    <phoneticPr fontId="12"/>
  </si>
  <si>
    <t>コンクリート埋設標</t>
    <rPh sb="6" eb="8">
      <t>マイセツ</t>
    </rPh>
    <rPh sb="8" eb="9">
      <t>ヒョウ</t>
    </rPh>
    <phoneticPr fontId="12"/>
  </si>
  <si>
    <t>ケーブル用</t>
    <rPh sb="4" eb="5">
      <t>ヨウ</t>
    </rPh>
    <phoneticPr fontId="12"/>
  </si>
  <si>
    <t>接地用</t>
    <rPh sb="0" eb="3">
      <t>セッチヨウ</t>
    </rPh>
    <phoneticPr fontId="12"/>
  </si>
  <si>
    <t>VE製 防水型</t>
    <rPh sb="4" eb="7">
      <t>ボウスイガタ</t>
    </rPh>
    <phoneticPr fontId="12"/>
  </si>
  <si>
    <t>残　土　処　分</t>
    <rPh sb="0" eb="1">
      <t>ザン</t>
    </rPh>
    <rPh sb="2" eb="3">
      <t>ド</t>
    </rPh>
    <rPh sb="4" eb="5">
      <t>ショ</t>
    </rPh>
    <rPh sb="6" eb="7">
      <t>ブン</t>
    </rPh>
    <phoneticPr fontId="12"/>
  </si>
  <si>
    <t>良　　質　　土</t>
    <rPh sb="0" eb="1">
      <t>ヨ</t>
    </rPh>
    <rPh sb="3" eb="4">
      <t>シツ</t>
    </rPh>
    <rPh sb="6" eb="7">
      <t>ド</t>
    </rPh>
    <phoneticPr fontId="12"/>
  </si>
  <si>
    <t>㎥</t>
    <phoneticPr fontId="12"/>
  </si>
  <si>
    <t>㎡</t>
    <phoneticPr fontId="12"/>
  </si>
  <si>
    <t>18N/㎟－25－8</t>
    <phoneticPr fontId="12"/>
  </si>
  <si>
    <t>600V  EM-CE    2  ㎟ -3C</t>
    <phoneticPr fontId="12"/>
  </si>
  <si>
    <t>600V  EM-CE    2  ㎟ -4C</t>
    <phoneticPr fontId="12"/>
  </si>
  <si>
    <t>600V  EM-CE    3.5㎟ -3C</t>
    <phoneticPr fontId="12"/>
  </si>
  <si>
    <t>600V  EM-CE    3.5㎟ -4C</t>
    <phoneticPr fontId="12"/>
  </si>
  <si>
    <t>600V  EM-CE    5.5㎟ -4C</t>
    <phoneticPr fontId="12"/>
  </si>
  <si>
    <t>600V  EM-CE    8  ㎟ -4C</t>
    <phoneticPr fontId="12"/>
  </si>
  <si>
    <t>600V  EM-CE   14  ㎟ -3C</t>
    <phoneticPr fontId="12"/>
  </si>
  <si>
    <t xml:space="preserve">      EM-CEE   2  ㎟ -2C</t>
    <phoneticPr fontId="12"/>
  </si>
  <si>
    <t xml:space="preserve">      EM-CEE   2  ㎟ -3C</t>
    <phoneticPr fontId="12"/>
  </si>
  <si>
    <t xml:space="preserve">      EM-CEE   2  ㎟ -5C</t>
    <phoneticPr fontId="12"/>
  </si>
  <si>
    <t xml:space="preserve">      EM-CEE   2  ㎟ -6C</t>
    <phoneticPr fontId="12"/>
  </si>
  <si>
    <t xml:space="preserve">      EM-CEE   2  ㎟ -7C</t>
    <phoneticPr fontId="12"/>
  </si>
  <si>
    <t>W300×H70㎜</t>
    <phoneticPr fontId="12"/>
  </si>
  <si>
    <t>W400×H70㎜</t>
    <phoneticPr fontId="12"/>
  </si>
  <si>
    <t>W600×H70㎜</t>
    <phoneticPr fontId="12"/>
  </si>
  <si>
    <t xml:space="preserve">VE製 防水型 </t>
    <rPh sb="4" eb="6">
      <t>ボウスイ</t>
    </rPh>
    <rPh sb="6" eb="7">
      <t>ガタ</t>
    </rPh>
    <phoneticPr fontId="12"/>
  </si>
  <si>
    <t>150□×100</t>
    <phoneticPr fontId="12"/>
  </si>
  <si>
    <t>200□×100</t>
    <phoneticPr fontId="12"/>
  </si>
  <si>
    <t>300□×200</t>
    <phoneticPr fontId="12"/>
  </si>
  <si>
    <t>400□×200</t>
    <phoneticPr fontId="12"/>
  </si>
  <si>
    <t>サーモスイッチ</t>
    <phoneticPr fontId="12"/>
  </si>
  <si>
    <t>TH 0～40℃</t>
    <phoneticPr fontId="12"/>
  </si>
  <si>
    <t>ケ ー ブ ル</t>
    <phoneticPr fontId="12"/>
  </si>
  <si>
    <t xml:space="preserve">      EM-CEES  2  ㎟ -2C</t>
    <phoneticPr fontId="12"/>
  </si>
  <si>
    <t>6極 2芯</t>
    <rPh sb="1" eb="2">
      <t>キョク</t>
    </rPh>
    <rPh sb="4" eb="5">
      <t>シン</t>
    </rPh>
    <phoneticPr fontId="12"/>
  </si>
  <si>
    <t>基　礎　工</t>
    <rPh sb="0" eb="1">
      <t>キ</t>
    </rPh>
    <rPh sb="2" eb="3">
      <t>ソ</t>
    </rPh>
    <rPh sb="4" eb="5">
      <t>コウ</t>
    </rPh>
    <phoneticPr fontId="12"/>
  </si>
  <si>
    <t>礎</t>
    <rPh sb="0" eb="1">
      <t>ソ</t>
    </rPh>
    <phoneticPr fontId="12"/>
  </si>
  <si>
    <t>　電 気 設 備 ( 電 灯 設 備 ) 工　　数　量　総　括　表　</t>
    <phoneticPr fontId="12"/>
  </si>
  <si>
    <t>　電 気 設 備 ( 電 灯 設 備 ) 工　　直 接 工 事 費 明 細 書　</t>
    <phoneticPr fontId="12"/>
  </si>
  <si>
    <t xml:space="preserve">600V  EM-IE    2.0㎜    </t>
    <phoneticPr fontId="12"/>
  </si>
  <si>
    <t xml:space="preserve">600V  EM-IE    1.6㎜    </t>
    <phoneticPr fontId="12"/>
  </si>
  <si>
    <t xml:space="preserve"> 電　　　線</t>
    <phoneticPr fontId="12"/>
  </si>
  <si>
    <t>　合成樹脂製</t>
    <rPh sb="1" eb="3">
      <t>ゴウセイ</t>
    </rPh>
    <rPh sb="3" eb="5">
      <t>ジュシ</t>
    </rPh>
    <rPh sb="5" eb="6">
      <t>セイ</t>
    </rPh>
    <phoneticPr fontId="12"/>
  </si>
  <si>
    <t>可とう電線管　</t>
    <rPh sb="0" eb="1">
      <t>カ</t>
    </rPh>
    <rPh sb="3" eb="6">
      <t>デンセンカン</t>
    </rPh>
    <phoneticPr fontId="12"/>
  </si>
  <si>
    <t>逆富士型蛍光灯</t>
    <rPh sb="0" eb="1">
      <t>ギャク</t>
    </rPh>
    <rPh sb="1" eb="3">
      <t>フジ</t>
    </rPh>
    <rPh sb="3" eb="4">
      <t>ガタ</t>
    </rPh>
    <rPh sb="4" eb="7">
      <t>ケイコウトウ</t>
    </rPh>
    <phoneticPr fontId="12"/>
  </si>
  <si>
    <t>K1-FSS9-322</t>
    <phoneticPr fontId="12"/>
  </si>
  <si>
    <t>FSS9-161</t>
    <phoneticPr fontId="12"/>
  </si>
  <si>
    <t>反射笠型蛍光灯</t>
    <rPh sb="0" eb="2">
      <t>ハンシャ</t>
    </rPh>
    <rPh sb="2" eb="3">
      <t>カサ</t>
    </rPh>
    <rPh sb="3" eb="4">
      <t>ガタ</t>
    </rPh>
    <rPh sb="4" eb="7">
      <t>ケイコウトウ</t>
    </rPh>
    <phoneticPr fontId="12"/>
  </si>
  <si>
    <t>FSR2-321</t>
    <phoneticPr fontId="12"/>
  </si>
  <si>
    <t>防湿･反射笠型蛍光灯 SUS製</t>
    <rPh sb="0" eb="2">
      <t>ボウシツ</t>
    </rPh>
    <rPh sb="3" eb="5">
      <t>ハンシャ</t>
    </rPh>
    <rPh sb="5" eb="6">
      <t>カサ</t>
    </rPh>
    <rPh sb="6" eb="7">
      <t>ガタ</t>
    </rPh>
    <rPh sb="7" eb="10">
      <t>ケイコウトウ</t>
    </rPh>
    <rPh sb="14" eb="15">
      <t>セイ</t>
    </rPh>
    <phoneticPr fontId="12"/>
  </si>
  <si>
    <t>FSR2MPA-322</t>
    <phoneticPr fontId="12"/>
  </si>
  <si>
    <t>K1-FSR2MPA-322</t>
    <phoneticPr fontId="12"/>
  </si>
  <si>
    <t>防水・カバー付ブラケット</t>
    <rPh sb="0" eb="2">
      <t>ボウスイ</t>
    </rPh>
    <rPh sb="6" eb="7">
      <t>ツキ</t>
    </rPh>
    <phoneticPr fontId="12"/>
  </si>
  <si>
    <t>2P15A×2 ﾌﾟﾚｰﾄ共</t>
    <rPh sb="13" eb="14">
      <t>トモ</t>
    </rPh>
    <phoneticPr fontId="12"/>
  </si>
  <si>
    <t>2P15AE付×1WP ﾌﾟﾚｰﾄ共</t>
    <rPh sb="6" eb="7">
      <t>ツキ</t>
    </rPh>
    <rPh sb="17" eb="18">
      <t>トモ</t>
    </rPh>
    <phoneticPr fontId="12"/>
  </si>
  <si>
    <t>埋込スイッチ</t>
    <rPh sb="0" eb="1">
      <t>ウ</t>
    </rPh>
    <rPh sb="1" eb="2">
      <t>コ</t>
    </rPh>
    <phoneticPr fontId="12"/>
  </si>
  <si>
    <t>3W15A×1 ﾌﾟﾚｰﾄ共</t>
    <rPh sb="13" eb="14">
      <t>トモ</t>
    </rPh>
    <phoneticPr fontId="12"/>
  </si>
  <si>
    <t>3W15A+1P15A(PL) ﾌﾟﾚｰﾄ共</t>
    <rPh sb="21" eb="22">
      <t>トモ</t>
    </rPh>
    <phoneticPr fontId="12"/>
  </si>
  <si>
    <t>光電式</t>
    <rPh sb="0" eb="1">
      <t>コウ</t>
    </rPh>
    <rPh sb="1" eb="2">
      <t>デン</t>
    </rPh>
    <rPh sb="2" eb="3">
      <t>シキ</t>
    </rPh>
    <phoneticPr fontId="12"/>
  </si>
  <si>
    <t>アウトレットボックス</t>
    <phoneticPr fontId="12"/>
  </si>
  <si>
    <t>露出 塩ビ製</t>
    <rPh sb="0" eb="2">
      <t>ロシュツ</t>
    </rPh>
    <rPh sb="3" eb="4">
      <t>エン</t>
    </rPh>
    <rPh sb="5" eb="6">
      <t>セイ</t>
    </rPh>
    <phoneticPr fontId="12"/>
  </si>
  <si>
    <t>一方向1個用(16)</t>
    <rPh sb="0" eb="3">
      <t>イチホウコウ</t>
    </rPh>
    <rPh sb="4" eb="5">
      <t>コ</t>
    </rPh>
    <rPh sb="5" eb="6">
      <t>ヨウ</t>
    </rPh>
    <phoneticPr fontId="12"/>
  </si>
  <si>
    <t>電気設備(電灯)</t>
    <phoneticPr fontId="12"/>
  </si>
  <si>
    <t>AS AC100V 3A</t>
    <phoneticPr fontId="12"/>
  </si>
  <si>
    <t>　電 気 設 備 ( 避 雷 設 備 ) 工　　数　量　総　括　表　</t>
    <rPh sb="11" eb="12">
      <t>ヒ</t>
    </rPh>
    <rPh sb="13" eb="14">
      <t>ライ</t>
    </rPh>
    <phoneticPr fontId="12"/>
  </si>
  <si>
    <t>　電 気 設 備 ( 避 雷 設 備 ) 工　　直 接 工 事 費 明 細 書　</t>
    <rPh sb="11" eb="12">
      <t>ヒ</t>
    </rPh>
    <rPh sb="13" eb="14">
      <t>ライ</t>
    </rPh>
    <phoneticPr fontId="12"/>
  </si>
  <si>
    <t>電気設備(避雷)</t>
    <rPh sb="5" eb="6">
      <t>ヒ</t>
    </rPh>
    <rPh sb="6" eb="7">
      <t>ライ</t>
    </rPh>
    <phoneticPr fontId="12"/>
  </si>
  <si>
    <t>避 雷 銅 線</t>
    <rPh sb="0" eb="1">
      <t>ヒ</t>
    </rPh>
    <rPh sb="2" eb="3">
      <t>ライ</t>
    </rPh>
    <rPh sb="4" eb="5">
      <t>ドウ</t>
    </rPh>
    <phoneticPr fontId="12"/>
  </si>
  <si>
    <t>鬼　よ　り　線</t>
    <rPh sb="0" eb="1">
      <t>オニ</t>
    </rPh>
    <rPh sb="6" eb="7">
      <t>セン</t>
    </rPh>
    <phoneticPr fontId="12"/>
  </si>
  <si>
    <t>40㎟ (13/2.0)</t>
    <phoneticPr fontId="12"/>
  </si>
  <si>
    <t>60㎟ (19/2.0)</t>
    <phoneticPr fontId="12"/>
  </si>
  <si>
    <t>避</t>
    <rPh sb="0" eb="1">
      <t>ヒ</t>
    </rPh>
    <phoneticPr fontId="12"/>
  </si>
  <si>
    <t>雷</t>
    <rPh sb="0" eb="1">
      <t>ライ</t>
    </rPh>
    <phoneticPr fontId="12"/>
  </si>
  <si>
    <t>銅</t>
    <rPh sb="0" eb="1">
      <t>ドウ</t>
    </rPh>
    <phoneticPr fontId="12"/>
  </si>
  <si>
    <t>VE (28)</t>
    <phoneticPr fontId="12"/>
  </si>
  <si>
    <t>硬質ビニル電線管</t>
    <rPh sb="0" eb="2">
      <t>コウシツ</t>
    </rPh>
    <rPh sb="5" eb="7">
      <t>デンセン</t>
    </rPh>
    <rPh sb="7" eb="8">
      <t>カン</t>
    </rPh>
    <phoneticPr fontId="12"/>
  </si>
  <si>
    <t>避 雷 設 備</t>
    <rPh sb="0" eb="1">
      <t>ヒ</t>
    </rPh>
    <rPh sb="2" eb="3">
      <t>ライ</t>
    </rPh>
    <rPh sb="4" eb="5">
      <t>セツ</t>
    </rPh>
    <rPh sb="6" eb="7">
      <t>ビ</t>
    </rPh>
    <phoneticPr fontId="12"/>
  </si>
  <si>
    <t>露出型 TB-AS1</t>
    <rPh sb="0" eb="3">
      <t>ロシュツガタ</t>
    </rPh>
    <phoneticPr fontId="12"/>
  </si>
  <si>
    <t>黄銅製</t>
    <rPh sb="0" eb="1">
      <t>オウ</t>
    </rPh>
    <rPh sb="1" eb="2">
      <t>ドウ</t>
    </rPh>
    <rPh sb="2" eb="3">
      <t>セイ</t>
    </rPh>
    <phoneticPr fontId="12"/>
  </si>
  <si>
    <t>1.5t×600×600</t>
    <phoneticPr fontId="12"/>
  </si>
  <si>
    <t>導線取付金物</t>
    <rPh sb="0" eb="2">
      <t>ドウセン</t>
    </rPh>
    <rPh sb="2" eb="4">
      <t>トリツケ</t>
    </rPh>
    <rPh sb="4" eb="6">
      <t>カナモノ</t>
    </rPh>
    <phoneticPr fontId="12"/>
  </si>
  <si>
    <t>接　続　端　子</t>
    <rPh sb="0" eb="1">
      <t>セツ</t>
    </rPh>
    <rPh sb="2" eb="3">
      <t>ゾク</t>
    </rPh>
    <rPh sb="4" eb="5">
      <t>タン</t>
    </rPh>
    <rPh sb="6" eb="7">
      <t>コ</t>
    </rPh>
    <phoneticPr fontId="12"/>
  </si>
  <si>
    <t>水切型</t>
    <rPh sb="0" eb="1">
      <t>スイ</t>
    </rPh>
    <rPh sb="1" eb="2">
      <t>キリ</t>
    </rPh>
    <rPh sb="2" eb="3">
      <t>ガタ</t>
    </rPh>
    <phoneticPr fontId="12"/>
  </si>
  <si>
    <t>接地用端子箱</t>
    <rPh sb="0" eb="3">
      <t>セッチヨウ</t>
    </rPh>
    <rPh sb="3" eb="5">
      <t>タンシ</t>
    </rPh>
    <rPh sb="5" eb="6">
      <t>ハコ</t>
    </rPh>
    <phoneticPr fontId="12"/>
  </si>
  <si>
    <t>露出 40㎟ (13/2.0)用</t>
    <rPh sb="0" eb="2">
      <t>ロシュツ</t>
    </rPh>
    <rPh sb="15" eb="16">
      <t>ヨウ</t>
    </rPh>
    <phoneticPr fontId="12"/>
  </si>
  <si>
    <t>Ｔ　型</t>
    <rPh sb="2" eb="3">
      <t>ガタ</t>
    </rPh>
    <phoneticPr fontId="12"/>
  </si>
  <si>
    <t>非常通報装置</t>
    <rPh sb="0" eb="2">
      <t>ヒジョウ</t>
    </rPh>
    <rPh sb="2" eb="4">
      <t>ツウホウ</t>
    </rPh>
    <rPh sb="4" eb="6">
      <t>ソウチ</t>
    </rPh>
    <phoneticPr fontId="12"/>
  </si>
  <si>
    <t>E25-5,-7</t>
    <phoneticPr fontId="12"/>
  </si>
  <si>
    <t>シンブル,玉碍子用38㎟</t>
    <rPh sb="5" eb="6">
      <t>タマ</t>
    </rPh>
    <rPh sb="6" eb="8">
      <t>ガイシ</t>
    </rPh>
    <rPh sb="8" eb="9">
      <t>ヨウ</t>
    </rPh>
    <phoneticPr fontId="12"/>
  </si>
  <si>
    <t>FSS9-322</t>
    <phoneticPr fontId="12"/>
  </si>
  <si>
    <t>四角 浅形</t>
    <rPh sb="0" eb="2">
      <t>シカク</t>
    </rPh>
    <rPh sb="3" eb="4">
      <t>アサ</t>
    </rPh>
    <rPh sb="4" eb="5">
      <t>カタチ</t>
    </rPh>
    <phoneticPr fontId="12"/>
  </si>
  <si>
    <t>接点32点,ｱﾅﾛｸﾞ8点</t>
    <rPh sb="0" eb="2">
      <t>セッテン</t>
    </rPh>
    <rPh sb="4" eb="5">
      <t>テン</t>
    </rPh>
    <rPh sb="12" eb="13">
      <t>テン</t>
    </rPh>
    <phoneticPr fontId="12"/>
  </si>
  <si>
    <t>NTT回線FOMA網,ﾒｰﾙ通報</t>
    <rPh sb="3" eb="5">
      <t>カイセン</t>
    </rPh>
    <rPh sb="9" eb="10">
      <t>モウ</t>
    </rPh>
    <rPh sb="14" eb="16">
      <t>ツウホウ</t>
    </rPh>
    <phoneticPr fontId="12"/>
  </si>
  <si>
    <t>E504</t>
    <phoneticPr fontId="12"/>
  </si>
  <si>
    <t>D種 φ14×1500L</t>
    <rPh sb="1" eb="2">
      <t>シュ</t>
    </rPh>
    <phoneticPr fontId="12"/>
  </si>
  <si>
    <t>ﾀﾞﾝﾌﾟﾄﾗｯｸ10t　L=4.0㎞</t>
    <phoneticPr fontId="12"/>
  </si>
  <si>
    <t>流用土</t>
    <rPh sb="0" eb="2">
      <t>リュウヨウ</t>
    </rPh>
    <rPh sb="2" eb="3">
      <t>ド</t>
    </rPh>
    <phoneticPr fontId="12"/>
  </si>
  <si>
    <t>40×45</t>
    <phoneticPr fontId="12"/>
  </si>
  <si>
    <t>第0005号</t>
    <rPh sb="0" eb="1">
      <t>ダイ</t>
    </rPh>
    <rPh sb="5" eb="6">
      <t>ゴウ</t>
    </rPh>
    <phoneticPr fontId="12"/>
  </si>
  <si>
    <t>第0001号</t>
    <rPh sb="0" eb="1">
      <t>ダイ</t>
    </rPh>
    <rPh sb="5" eb="6">
      <t>ゴウ</t>
    </rPh>
    <phoneticPr fontId="12"/>
  </si>
  <si>
    <t>第0006号</t>
    <rPh sb="0" eb="1">
      <t>ダイ</t>
    </rPh>
    <rPh sb="5" eb="6">
      <t>ゴウ</t>
    </rPh>
    <phoneticPr fontId="12"/>
  </si>
  <si>
    <t>農業集落排水施設整備事業</t>
    <rPh sb="6" eb="8">
      <t>シセツ</t>
    </rPh>
    <rPh sb="8" eb="10">
      <t>セイビ</t>
    </rPh>
    <phoneticPr fontId="6"/>
  </si>
  <si>
    <t>汚水処理施設</t>
    <rPh sb="0" eb="2">
      <t>オスイ</t>
    </rPh>
    <phoneticPr fontId="6"/>
  </si>
  <si>
    <t>電気設備工事</t>
    <rPh sb="0" eb="2">
      <t>デンキ</t>
    </rPh>
    <rPh sb="2" eb="4">
      <t>セツビ</t>
    </rPh>
    <rPh sb="4" eb="6">
      <t>コウジ</t>
    </rPh>
    <phoneticPr fontId="6"/>
  </si>
  <si>
    <t>　　契約日より　　平成　　年　　月　　日　まで</t>
    <rPh sb="2" eb="4">
      <t>ケイヤク</t>
    </rPh>
    <rPh sb="4" eb="5">
      <t>ヒ</t>
    </rPh>
    <phoneticPr fontId="6"/>
  </si>
  <si>
    <t>計画処理対象人口</t>
    <rPh sb="0" eb="2">
      <t>ケイカク</t>
    </rPh>
    <rPh sb="2" eb="4">
      <t>ショリ</t>
    </rPh>
    <rPh sb="4" eb="6">
      <t>タイショウ</t>
    </rPh>
    <rPh sb="6" eb="8">
      <t>ジンコウ</t>
    </rPh>
    <phoneticPr fontId="6"/>
  </si>
  <si>
    <t>式</t>
    <rPh sb="0" eb="1">
      <t>シキ</t>
    </rPh>
    <phoneticPr fontId="6"/>
  </si>
  <si>
    <t>W500×D200×H1030㎜</t>
    <phoneticPr fontId="12"/>
  </si>
  <si>
    <t>E1-2</t>
    <phoneticPr fontId="12"/>
  </si>
  <si>
    <t>引 込 開 閉 器 盤</t>
    <rPh sb="0" eb="1">
      <t>イン</t>
    </rPh>
    <rPh sb="2" eb="3">
      <t>コ</t>
    </rPh>
    <rPh sb="4" eb="5">
      <t>カイ</t>
    </rPh>
    <rPh sb="6" eb="7">
      <t>ヘイ</t>
    </rPh>
    <rPh sb="8" eb="9">
      <t>ウツワ</t>
    </rPh>
    <rPh sb="10" eb="11">
      <t>バン</t>
    </rPh>
    <phoneticPr fontId="12"/>
  </si>
  <si>
    <t>W800×D600×H1950㎜</t>
    <phoneticPr fontId="12"/>
  </si>
  <si>
    <t>E5-1</t>
    <phoneticPr fontId="12"/>
  </si>
  <si>
    <t>W400×D250×H500㎜</t>
    <phoneticPr fontId="12"/>
  </si>
  <si>
    <t>非 常 用 発 電 機</t>
    <rPh sb="0" eb="1">
      <t>ヒ</t>
    </rPh>
    <rPh sb="2" eb="3">
      <t>ツネ</t>
    </rPh>
    <rPh sb="4" eb="5">
      <t>ヨウ</t>
    </rPh>
    <rPh sb="6" eb="7">
      <t>ハツ</t>
    </rPh>
    <rPh sb="8" eb="9">
      <t>デン</t>
    </rPh>
    <rPh sb="10" eb="11">
      <t>キ</t>
    </rPh>
    <phoneticPr fontId="12"/>
  </si>
  <si>
    <t>(ｷｭｰﾋﾞｸﾙ型)～35KVA</t>
    <phoneticPr fontId="12"/>
  </si>
  <si>
    <t>E29-2</t>
    <phoneticPr fontId="12"/>
  </si>
  <si>
    <t>125A 予備短管付</t>
    <rPh sb="5" eb="7">
      <t>ヨビ</t>
    </rPh>
    <rPh sb="7" eb="8">
      <t>タン</t>
    </rPh>
    <rPh sb="8" eb="9">
      <t>カン</t>
    </rPh>
    <rPh sb="9" eb="10">
      <t>ツキ</t>
    </rPh>
    <phoneticPr fontId="2"/>
  </si>
  <si>
    <t xml:space="preserve"> 80A 予備短管付</t>
    <phoneticPr fontId="2"/>
  </si>
  <si>
    <t xml:space="preserve">散水2,汚貯2 </t>
    <rPh sb="0" eb="1">
      <t>サン</t>
    </rPh>
    <rPh sb="1" eb="2">
      <t>スイ</t>
    </rPh>
    <rPh sb="4" eb="5">
      <t>オ</t>
    </rPh>
    <rPh sb="5" eb="6">
      <t>チョ</t>
    </rPh>
    <phoneticPr fontId="12"/>
  </si>
  <si>
    <t>E25-3,-7</t>
    <phoneticPr fontId="12"/>
  </si>
  <si>
    <t>W500×D160×H600㎜</t>
    <phoneticPr fontId="12"/>
  </si>
  <si>
    <t>E2-3</t>
    <phoneticPr fontId="12"/>
  </si>
  <si>
    <t>E7-1</t>
    <phoneticPr fontId="12"/>
  </si>
  <si>
    <t xml:space="preserve">600V  EM-CET 150  ㎟    </t>
    <phoneticPr fontId="12"/>
  </si>
  <si>
    <t>600V  EM-CE    8  ㎟ -3C</t>
    <phoneticPr fontId="12"/>
  </si>
  <si>
    <t>PE   (92)</t>
    <phoneticPr fontId="12"/>
  </si>
  <si>
    <t>HIVE (16)</t>
    <phoneticPr fontId="12"/>
  </si>
  <si>
    <t>HIVE (70)</t>
    <phoneticPr fontId="12"/>
  </si>
  <si>
    <t>金属製可とう電線管</t>
    <rPh sb="0" eb="3">
      <t>キンゾクセイ</t>
    </rPh>
    <rPh sb="3" eb="4">
      <t>カ</t>
    </rPh>
    <rPh sb="6" eb="9">
      <t>デンセンカン</t>
    </rPh>
    <phoneticPr fontId="12"/>
  </si>
  <si>
    <t>防水ﾌﾟﾘｶﾁｭｰﾌﾞ # 38 被覆</t>
    <rPh sb="0" eb="2">
      <t>ボウスイ</t>
    </rPh>
    <rPh sb="17" eb="19">
      <t>ヒフク</t>
    </rPh>
    <phoneticPr fontId="12"/>
  </si>
  <si>
    <t>防水ﾌﾟﾘｶﾁｭｰﾌﾞ #101 被覆</t>
    <rPh sb="0" eb="2">
      <t>ボウスイ</t>
    </rPh>
    <rPh sb="17" eb="19">
      <t>ヒフク</t>
    </rPh>
    <phoneticPr fontId="12"/>
  </si>
  <si>
    <t>10m-19cm-350kg</t>
    <phoneticPr fontId="12"/>
  </si>
  <si>
    <t>低 圧 ラ ッ ク</t>
    <rPh sb="0" eb="1">
      <t>テイ</t>
    </rPh>
    <rPh sb="2" eb="3">
      <t>アツ</t>
    </rPh>
    <phoneticPr fontId="12"/>
  </si>
  <si>
    <t>柱</t>
    <rPh sb="0" eb="1">
      <t>チュウ</t>
    </rPh>
    <phoneticPr fontId="12"/>
  </si>
  <si>
    <t xml:space="preserve">600V　EM-CET 150 ㎟     </t>
    <phoneticPr fontId="12"/>
  </si>
  <si>
    <t>IBT-208</t>
    <phoneticPr fontId="12"/>
  </si>
  <si>
    <t>W200×H70㎜</t>
    <phoneticPr fontId="12"/>
  </si>
  <si>
    <t>　ポリエチレン</t>
    <phoneticPr fontId="12"/>
  </si>
  <si>
    <t>　耐衝撃性</t>
    <phoneticPr fontId="12"/>
  </si>
  <si>
    <t>　耐衝撃性</t>
    <phoneticPr fontId="12"/>
  </si>
  <si>
    <t>EM-CPEE 0.9㎟ - 3P</t>
    <phoneticPr fontId="12"/>
  </si>
  <si>
    <t>平 成 ２５ 年 度</t>
    <phoneticPr fontId="6"/>
  </si>
  <si>
    <t>花　垣　地　区</t>
    <rPh sb="0" eb="1">
      <t>ハナ</t>
    </rPh>
    <rPh sb="2" eb="3">
      <t>ガキ</t>
    </rPh>
    <rPh sb="4" eb="5">
      <t>チ</t>
    </rPh>
    <rPh sb="6" eb="7">
      <t>ク</t>
    </rPh>
    <phoneticPr fontId="6"/>
  </si>
  <si>
    <t>FHT42W×1 ﾗﾝﾌﾟ･安定器含む</t>
    <rPh sb="14" eb="17">
      <t>アンテイキ</t>
    </rPh>
    <rPh sb="17" eb="18">
      <t>フク</t>
    </rPh>
    <phoneticPr fontId="8"/>
  </si>
  <si>
    <t>防　犯　灯</t>
    <rPh sb="0" eb="1">
      <t>ボウ</t>
    </rPh>
    <rPh sb="2" eb="3">
      <t>ハン</t>
    </rPh>
    <rPh sb="4" eb="5">
      <t>ヒ</t>
    </rPh>
    <phoneticPr fontId="8"/>
  </si>
  <si>
    <t>防</t>
    <rPh sb="0" eb="1">
      <t>ボウ</t>
    </rPh>
    <phoneticPr fontId="8"/>
  </si>
  <si>
    <t>犯</t>
    <rPh sb="0" eb="1">
      <t>ハン</t>
    </rPh>
    <phoneticPr fontId="8"/>
  </si>
  <si>
    <t>E505</t>
    <phoneticPr fontId="8"/>
  </si>
  <si>
    <t>ﾊﾟﾅｿﾆｯｸ電工</t>
    <rPh sb="7" eb="9">
      <t>デンコウ</t>
    </rPh>
    <phoneticPr fontId="8"/>
  </si>
  <si>
    <t>YF4130ZENM相当品</t>
    <rPh sb="10" eb="12">
      <t>ソウトウ</t>
    </rPh>
    <rPh sb="12" eb="13">
      <t>ヒン</t>
    </rPh>
    <phoneticPr fontId="8"/>
  </si>
  <si>
    <t>PF-S (22)</t>
    <phoneticPr fontId="12"/>
  </si>
  <si>
    <t>　耐衝撃性</t>
    <phoneticPr fontId="12"/>
  </si>
  <si>
    <t>4W15A×1 ﾌﾟﾚｰﾄ共</t>
    <rPh sb="13" eb="14">
      <t>トモ</t>
    </rPh>
    <phoneticPr fontId="12"/>
  </si>
  <si>
    <t>1P15A×1WP ﾌﾟﾚｰﾄ共</t>
    <rPh sb="15" eb="16">
      <t>トモ</t>
    </rPh>
    <phoneticPr fontId="12"/>
  </si>
  <si>
    <t>K1-FSR2-321</t>
    <phoneticPr fontId="12"/>
  </si>
  <si>
    <t>FBF7RP-321</t>
    <phoneticPr fontId="12"/>
  </si>
  <si>
    <t>FW21825Z相当品</t>
    <rPh sb="8" eb="10">
      <t>ソウトウ</t>
    </rPh>
    <rPh sb="10" eb="11">
      <t>ヒン</t>
    </rPh>
    <phoneticPr fontId="8"/>
  </si>
  <si>
    <t>明</t>
    <rPh sb="0" eb="1">
      <t>メイ</t>
    </rPh>
    <phoneticPr fontId="12"/>
  </si>
  <si>
    <t>ケ ー ブ ル</t>
    <phoneticPr fontId="8"/>
  </si>
  <si>
    <t>1P15A+1P15A(PL) ﾌﾟﾚｰﾄ共</t>
    <rPh sb="21" eb="22">
      <t>トモ</t>
    </rPh>
    <phoneticPr fontId="12"/>
  </si>
  <si>
    <t>W350×D150×H400㎜ 10P</t>
    <phoneticPr fontId="12"/>
  </si>
  <si>
    <t>E503</t>
    <phoneticPr fontId="12"/>
  </si>
  <si>
    <t>第0010号</t>
    <rPh sb="0" eb="1">
      <t>ダイ</t>
    </rPh>
    <rPh sb="5" eb="6">
      <t>ゴウ</t>
    </rPh>
    <phoneticPr fontId="12"/>
  </si>
  <si>
    <t>伊賀市治田地内</t>
    <rPh sb="0" eb="3">
      <t>イガシ</t>
    </rPh>
    <rPh sb="3" eb="5">
      <t>ハッタ</t>
    </rPh>
    <rPh sb="5" eb="6">
      <t>チ</t>
    </rPh>
    <phoneticPr fontId="6"/>
  </si>
  <si>
    <t>E501</t>
    <phoneticPr fontId="12"/>
  </si>
  <si>
    <t>E502</t>
    <phoneticPr fontId="12"/>
  </si>
  <si>
    <t>　交通の影響無 ＝ ４</t>
    <phoneticPr fontId="12"/>
  </si>
  <si>
    <t>[機械]</t>
    <phoneticPr fontId="12"/>
  </si>
  <si>
    <t>積上金額</t>
    <phoneticPr fontId="12"/>
  </si>
  <si>
    <t>純工事費</t>
    <phoneticPr fontId="12"/>
  </si>
  <si>
    <t>⑧</t>
    <phoneticPr fontId="12"/>
  </si>
  <si>
    <t>⑨</t>
    <phoneticPr fontId="12"/>
  </si>
  <si>
    <t xml:space="preserve"> ⑩=②+③+</t>
    <phoneticPr fontId="12"/>
  </si>
  <si>
    <t>⑪</t>
    <phoneticPr fontId="12"/>
  </si>
  <si>
    <t>⑫</t>
    <phoneticPr fontId="12"/>
  </si>
  <si>
    <t>⑬</t>
    <phoneticPr fontId="12"/>
  </si>
  <si>
    <t>⑭</t>
    <phoneticPr fontId="12"/>
  </si>
  <si>
    <t>⑦ × Ａ</t>
    <phoneticPr fontId="12"/>
  </si>
  <si>
    <t xml:space="preserve">⑧+⑨ </t>
    <phoneticPr fontId="12"/>
  </si>
  <si>
    <t>① ＋ ⑩</t>
    <phoneticPr fontId="12"/>
  </si>
  <si>
    <t>⑪ × Ｂ</t>
    <phoneticPr fontId="12"/>
  </si>
  <si>
    <t>対　象　額</t>
    <rPh sb="0" eb="1">
      <t>タイ</t>
    </rPh>
    <rPh sb="2" eb="3">
      <t>ゾウ</t>
    </rPh>
    <rPh sb="4" eb="5">
      <t>ガク</t>
    </rPh>
    <phoneticPr fontId="12"/>
  </si>
  <si>
    <t>⑲</t>
    <phoneticPr fontId="12"/>
  </si>
  <si>
    <t>⑳</t>
    <phoneticPr fontId="12"/>
  </si>
  <si>
    <t>⑱ × Ｄ</t>
    <phoneticPr fontId="12"/>
  </si>
  <si>
    <t>⑱ ＋ ⑲</t>
    <phoneticPr fontId="12"/>
  </si>
  <si>
    <t>工事原価</t>
    <phoneticPr fontId="12"/>
  </si>
  <si>
    <t>一般管理費率</t>
    <phoneticPr fontId="12"/>
  </si>
  <si>
    <t>Ａ</t>
    <phoneticPr fontId="12"/>
  </si>
  <si>
    <t>Ｂ</t>
    <phoneticPr fontId="12"/>
  </si>
  <si>
    <t>Ｃ</t>
    <phoneticPr fontId="12"/>
  </si>
  <si>
    <t xml:space="preserve">契約保証補正  </t>
    <phoneticPr fontId="12"/>
  </si>
  <si>
    <t>Ｄ</t>
    <phoneticPr fontId="12"/>
  </si>
  <si>
    <t>　土木工事（その１）</t>
    <phoneticPr fontId="12"/>
  </si>
  <si>
    <t>　土木工事（その２）</t>
    <phoneticPr fontId="12"/>
  </si>
  <si>
    <t>　機械設備据付</t>
    <phoneticPr fontId="12"/>
  </si>
  <si>
    <t>　電気設備据付</t>
    <phoneticPr fontId="12"/>
  </si>
  <si>
    <t>⑪-2</t>
    <phoneticPr fontId="12"/>
  </si>
  <si>
    <t>⑦ × Ａ</t>
    <phoneticPr fontId="12"/>
  </si>
  <si>
    <t>⑨ × Ｂ</t>
    <phoneticPr fontId="12"/>
  </si>
  <si>
    <t>① ＋ ⑫</t>
    <phoneticPr fontId="12"/>
  </si>
  <si>
    <t>⑱×0.05</t>
    <phoneticPr fontId="12"/>
  </si>
  <si>
    <t>⑱ ＋ ⑲</t>
    <phoneticPr fontId="12"/>
  </si>
  <si>
    <t>【電気設備】</t>
    <rPh sb="1" eb="3">
      <t>デンキ</t>
    </rPh>
    <phoneticPr fontId="12"/>
  </si>
  <si>
    <t>【 機器管理費率 】</t>
    <rPh sb="2" eb="4">
      <t>キキ</t>
    </rPh>
    <rPh sb="4" eb="6">
      <t>カンリ</t>
    </rPh>
    <rPh sb="6" eb="7">
      <t>ヒ</t>
    </rPh>
    <phoneticPr fontId="12"/>
  </si>
  <si>
    <r>
      <t>共通仮設費率</t>
    </r>
    <r>
      <rPr>
        <sz val="11"/>
        <color indexed="10"/>
        <rFont val="ＭＳ 明朝"/>
        <family val="1"/>
        <charset val="128"/>
      </rPr>
      <t>(電気)その他土木(1)</t>
    </r>
    <rPh sb="7" eb="9">
      <t>デンキ</t>
    </rPh>
    <rPh sb="12" eb="13">
      <t>タ</t>
    </rPh>
    <rPh sb="13" eb="15">
      <t>ドボク</t>
    </rPh>
    <phoneticPr fontId="12"/>
  </si>
  <si>
    <r>
      <t>現場管理費率</t>
    </r>
    <r>
      <rPr>
        <sz val="11"/>
        <color indexed="10"/>
        <rFont val="ＭＳ 明朝"/>
        <family val="1"/>
        <charset val="128"/>
      </rPr>
      <t>(電気)その他土木(1)</t>
    </r>
    <phoneticPr fontId="12"/>
  </si>
  <si>
    <r>
      <t>一般管理費率</t>
    </r>
    <r>
      <rPr>
        <sz val="11"/>
        <color indexed="10"/>
        <rFont val="ＭＳ 明朝"/>
        <family val="1"/>
        <charset val="128"/>
      </rPr>
      <t>(電気)(土木工事)</t>
    </r>
    <rPh sb="7" eb="9">
      <t>デンキ</t>
    </rPh>
    <rPh sb="11" eb="13">
      <t>ドボク</t>
    </rPh>
    <rPh sb="13" eb="15">
      <t>コウジ</t>
    </rPh>
    <phoneticPr fontId="12"/>
  </si>
  <si>
    <r>
      <rPr>
        <sz val="11"/>
        <color indexed="10"/>
        <rFont val="ＭＳ 明朝"/>
        <family val="1"/>
        <charset val="128"/>
      </rPr>
      <t>機器管理費</t>
    </r>
    <r>
      <rPr>
        <sz val="11"/>
        <rFont val="ＭＳ 明朝"/>
        <family val="1"/>
        <charset val="128"/>
      </rPr>
      <t>率(電気)</t>
    </r>
    <r>
      <rPr>
        <sz val="11"/>
        <color indexed="10"/>
        <rFont val="ＭＳ 明朝"/>
        <family val="1"/>
        <charset val="128"/>
      </rPr>
      <t>(施設機械)</t>
    </r>
    <rPh sb="0" eb="2">
      <t>キキ</t>
    </rPh>
    <rPh sb="2" eb="4">
      <t>カンリ</t>
    </rPh>
    <rPh sb="4" eb="5">
      <t>ヒ</t>
    </rPh>
    <rPh sb="7" eb="9">
      <t>デンキ</t>
    </rPh>
    <rPh sb="11" eb="13">
      <t>シセツ</t>
    </rPh>
    <rPh sb="13" eb="15">
      <t>キカイ</t>
    </rPh>
    <phoneticPr fontId="12"/>
  </si>
  <si>
    <t>共通仮設費率の補正</t>
    <phoneticPr fontId="28"/>
  </si>
  <si>
    <t>現場管理費率の補正</t>
    <phoneticPr fontId="28"/>
  </si>
  <si>
    <t>[電気](土木工事)</t>
    <rPh sb="1" eb="3">
      <t>デンキ</t>
    </rPh>
    <rPh sb="5" eb="7">
      <t>ドボク</t>
    </rPh>
    <rPh sb="7" eb="9">
      <t>コウジ</t>
    </rPh>
    <phoneticPr fontId="12"/>
  </si>
  <si>
    <t>機器管理費</t>
    <rPh sb="0" eb="2">
      <t>キキ</t>
    </rPh>
    <rPh sb="2" eb="4">
      <t>カンリ</t>
    </rPh>
    <rPh sb="4" eb="5">
      <t>ヒ</t>
    </rPh>
    <phoneticPr fontId="12"/>
  </si>
  <si>
    <t>据付工事</t>
    <rPh sb="0" eb="2">
      <t>スエツケ</t>
    </rPh>
    <rPh sb="2" eb="4">
      <t>コウジ</t>
    </rPh>
    <phoneticPr fontId="12"/>
  </si>
  <si>
    <t>⑮＝⑭</t>
    <phoneticPr fontId="12"/>
  </si>
  <si>
    <t>⑮ × Ｃ</t>
    <phoneticPr fontId="12"/>
  </si>
  <si>
    <t>⑯</t>
    <phoneticPr fontId="12"/>
  </si>
  <si>
    <t>⑰</t>
    <phoneticPr fontId="28"/>
  </si>
  <si>
    <t>機器間接費</t>
    <rPh sb="0" eb="2">
      <t>キキ</t>
    </rPh>
    <rPh sb="2" eb="4">
      <t>カンセツ</t>
    </rPh>
    <rPh sb="4" eb="5">
      <t>ヒ</t>
    </rPh>
    <phoneticPr fontId="28"/>
  </si>
  <si>
    <t>⑬ ＋ ⑯</t>
    <phoneticPr fontId="28"/>
  </si>
  <si>
    <t>原価 ⑱=</t>
    <rPh sb="0" eb="1">
      <t>ハラ</t>
    </rPh>
    <rPh sb="1" eb="2">
      <t>アタイ</t>
    </rPh>
    <phoneticPr fontId="12"/>
  </si>
  <si>
    <t>⑪+⑫+⑰</t>
    <phoneticPr fontId="12"/>
  </si>
  <si>
    <t>機器間接費</t>
    <rPh sb="0" eb="2">
      <t>キキ</t>
    </rPh>
    <rPh sb="2" eb="4">
      <t>カンセツ</t>
    </rPh>
    <phoneticPr fontId="12"/>
  </si>
  <si>
    <t>技術者間接費</t>
    <rPh sb="0" eb="3">
      <t>ギジュツシャ</t>
    </rPh>
    <rPh sb="3" eb="5">
      <t>カンセツ</t>
    </rPh>
    <phoneticPr fontId="28"/>
  </si>
  <si>
    <t>機器単体費</t>
    <rPh sb="0" eb="1">
      <t>キ</t>
    </rPh>
    <rPh sb="1" eb="2">
      <t>ウツワ</t>
    </rPh>
    <rPh sb="2" eb="4">
      <t>タンタイ</t>
    </rPh>
    <rPh sb="4" eb="5">
      <t>ヒ</t>
    </rPh>
    <phoneticPr fontId="12"/>
  </si>
  <si>
    <t>式</t>
    <rPh sb="0" eb="1">
      <t>シキ</t>
    </rPh>
    <phoneticPr fontId="12"/>
  </si>
  <si>
    <t>上記材料費の 45％</t>
    <phoneticPr fontId="12"/>
  </si>
  <si>
    <t>第0009号</t>
    <rPh sb="0" eb="1">
      <t>ダイ</t>
    </rPh>
    <rPh sb="5" eb="6">
      <t>ゴウ</t>
    </rPh>
    <phoneticPr fontId="12"/>
  </si>
  <si>
    <t xml:space="preserve"> 2.2t L=9.5㎞</t>
    <phoneticPr fontId="6"/>
  </si>
  <si>
    <t>3t車 L=10kmまで</t>
    <rPh sb="2" eb="3">
      <t>シャ</t>
    </rPh>
    <phoneticPr fontId="6"/>
  </si>
  <si>
    <t>調　　整</t>
    <rPh sb="0" eb="1">
      <t>チョウ</t>
    </rPh>
    <rPh sb="3" eb="4">
      <t>セイ</t>
    </rPh>
    <phoneticPr fontId="12"/>
  </si>
  <si>
    <t>機器支給</t>
    <rPh sb="0" eb="2">
      <t>キキ</t>
    </rPh>
    <rPh sb="2" eb="4">
      <t>シキュウ</t>
    </rPh>
    <phoneticPr fontId="28"/>
  </si>
  <si>
    <t>　保証 有 ＝ １, 無 ＝ ２</t>
    <phoneticPr fontId="12"/>
  </si>
  <si>
    <t>　支給 有 ＝ １, 無 ＝ ２</t>
    <rPh sb="1" eb="3">
      <t>シキュウ</t>
    </rPh>
    <rPh sb="4" eb="5">
      <t>アリ</t>
    </rPh>
    <phoneticPr fontId="28"/>
  </si>
  <si>
    <t>８　％</t>
    <phoneticPr fontId="12"/>
  </si>
  <si>
    <t>調整</t>
    <rPh sb="0" eb="2">
      <t>チョウセイ</t>
    </rPh>
    <phoneticPr fontId="28"/>
  </si>
  <si>
    <t>一般交通の影響有り(1)</t>
    <phoneticPr fontId="28"/>
  </si>
  <si>
    <t>一般交通の影響有り(2)</t>
    <rPh sb="7" eb="8">
      <t>ア</t>
    </rPh>
    <phoneticPr fontId="28"/>
  </si>
  <si>
    <t>輸 送 費</t>
    <rPh sb="0" eb="1">
      <t>ユ</t>
    </rPh>
    <rPh sb="2" eb="3">
      <t>ソウ</t>
    </rPh>
    <rPh sb="4" eb="5">
      <t>ヒ</t>
    </rPh>
    <phoneticPr fontId="12"/>
  </si>
  <si>
    <t>合　　　計</t>
    <phoneticPr fontId="12"/>
  </si>
  <si>
    <t>改　　　め</t>
    <rPh sb="0" eb="1">
      <t>アラタ</t>
    </rPh>
    <phoneticPr fontId="12"/>
  </si>
  <si>
    <t>明細表</t>
    <rPh sb="0" eb="3">
      <t>メイサイヒョウ</t>
    </rPh>
    <phoneticPr fontId="12"/>
  </si>
  <si>
    <t>据付工事価格</t>
    <rPh sb="0" eb="2">
      <t>スエツケ</t>
    </rPh>
    <phoneticPr fontId="12"/>
  </si>
  <si>
    <t>据付工事原価</t>
    <rPh sb="0" eb="2">
      <t>スエツケ</t>
    </rPh>
    <rPh sb="2" eb="3">
      <t>コウ</t>
    </rPh>
    <phoneticPr fontId="12"/>
  </si>
  <si>
    <t>間 接 工 事 費</t>
    <rPh sb="4" eb="5">
      <t>コウ</t>
    </rPh>
    <rPh sb="6" eb="7">
      <t>コト</t>
    </rPh>
    <rPh sb="8" eb="9">
      <t>ヒ</t>
    </rPh>
    <phoneticPr fontId="12"/>
  </si>
  <si>
    <t>交通の影響有(2)</t>
    <phoneticPr fontId="28"/>
  </si>
  <si>
    <t>－</t>
    <phoneticPr fontId="28"/>
  </si>
  <si>
    <t>スクラップ控除費</t>
    <rPh sb="5" eb="7">
      <t>コウジョ</t>
    </rPh>
    <rPh sb="7" eb="8">
      <t>ヒ</t>
    </rPh>
    <phoneticPr fontId="12"/>
  </si>
  <si>
    <t>スクラップ控除費</t>
    <phoneticPr fontId="12"/>
  </si>
  <si>
    <t>　電　気　設　備　工　事　価　格　算　出　表　</t>
    <rPh sb="1" eb="2">
      <t>デン</t>
    </rPh>
    <rPh sb="3" eb="4">
      <t>キ</t>
    </rPh>
    <rPh sb="5" eb="6">
      <t>セツ</t>
    </rPh>
    <rPh sb="7" eb="8">
      <t>ソナエ</t>
    </rPh>
    <phoneticPr fontId="28"/>
  </si>
  <si>
    <t>10億以上</t>
    <phoneticPr fontId="12"/>
  </si>
  <si>
    <t>労　務 費</t>
    <rPh sb="0" eb="1">
      <t>ロウ</t>
    </rPh>
    <rPh sb="2" eb="3">
      <t>ツトム</t>
    </rPh>
    <rPh sb="4" eb="5">
      <t>ヒ</t>
    </rPh>
    <phoneticPr fontId="12"/>
  </si>
  <si>
    <t>1,400万未満</t>
    <phoneticPr fontId="12"/>
  </si>
  <si>
    <t>2億以上</t>
    <phoneticPr fontId="12"/>
  </si>
  <si>
    <t>　技　術　者　間　接　費　　 明 細 書　</t>
    <rPh sb="1" eb="2">
      <t>ワザ</t>
    </rPh>
    <rPh sb="3" eb="4">
      <t>ジュツ</t>
    </rPh>
    <rPh sb="5" eb="6">
      <t>モノ</t>
    </rPh>
    <rPh sb="7" eb="8">
      <t>アイダ</t>
    </rPh>
    <rPh sb="9" eb="10">
      <t>セッ</t>
    </rPh>
    <rPh sb="11" eb="12">
      <t>ヒ</t>
    </rPh>
    <phoneticPr fontId="12"/>
  </si>
  <si>
    <t>相鹿瀬地区</t>
    <rPh sb="0" eb="1">
      <t>アイ</t>
    </rPh>
    <rPh sb="1" eb="2">
      <t>シカ</t>
    </rPh>
    <rPh sb="2" eb="3">
      <t>セ</t>
    </rPh>
    <rPh sb="3" eb="5">
      <t>チク</t>
    </rPh>
    <phoneticPr fontId="12"/>
  </si>
  <si>
    <t>機器間接費</t>
    <rPh sb="0" eb="2">
      <t>キキ</t>
    </rPh>
    <rPh sb="2" eb="4">
      <t>カンセツ</t>
    </rPh>
    <rPh sb="4" eb="5">
      <t>ヒ</t>
    </rPh>
    <phoneticPr fontId="12"/>
  </si>
  <si>
    <t>相鹿瀬地区</t>
    <rPh sb="0" eb="1">
      <t>アイ</t>
    </rPh>
    <rPh sb="1" eb="2">
      <t>シカ</t>
    </rPh>
    <rPh sb="2" eb="3">
      <t>セ</t>
    </rPh>
    <rPh sb="3" eb="5">
      <t>チク</t>
    </rPh>
    <phoneticPr fontId="12"/>
  </si>
  <si>
    <t xml:space="preserve">算出基礎参照 </t>
    <rPh sb="0" eb="2">
      <t>サンシュツ</t>
    </rPh>
    <rPh sb="2" eb="4">
      <t>キソ</t>
    </rPh>
    <phoneticPr fontId="12"/>
  </si>
  <si>
    <t>上津田図面</t>
    <rPh sb="0" eb="2">
      <t>カミツ</t>
    </rPh>
    <rPh sb="2" eb="3">
      <t>タ</t>
    </rPh>
    <rPh sb="3" eb="5">
      <t>ズメン</t>
    </rPh>
    <phoneticPr fontId="12"/>
  </si>
  <si>
    <t>外城田地区</t>
    <rPh sb="0" eb="3">
      <t>トキダ</t>
    </rPh>
    <rPh sb="3" eb="5">
      <t>チク</t>
    </rPh>
    <phoneticPr fontId="12"/>
  </si>
  <si>
    <t>土羽地区</t>
    <rPh sb="0" eb="2">
      <t>トバ</t>
    </rPh>
    <rPh sb="2" eb="4">
      <t>チク</t>
    </rPh>
    <phoneticPr fontId="12"/>
  </si>
  <si>
    <t>丹生地区</t>
    <rPh sb="0" eb="2">
      <t>ニュウ</t>
    </rPh>
    <rPh sb="2" eb="4">
      <t>チク</t>
    </rPh>
    <phoneticPr fontId="12"/>
  </si>
  <si>
    <t>　ス　ク　ラ　ッ　プ　控　除　費　　 明 細 書　</t>
    <rPh sb="11" eb="12">
      <t>ヒカエ</t>
    </rPh>
    <rPh sb="13" eb="14">
      <t>ジョ</t>
    </rPh>
    <rPh sb="15" eb="16">
      <t>ヒ</t>
    </rPh>
    <phoneticPr fontId="12"/>
  </si>
  <si>
    <t>スクラップ費</t>
    <rPh sb="5" eb="6">
      <t>ヒ</t>
    </rPh>
    <phoneticPr fontId="28"/>
  </si>
  <si>
    <t>第0007号</t>
    <rPh sb="0" eb="1">
      <t>ダイ</t>
    </rPh>
    <rPh sb="5" eb="6">
      <t>ゴウ</t>
    </rPh>
    <phoneticPr fontId="12"/>
  </si>
  <si>
    <t>第0008号</t>
    <rPh sb="0" eb="1">
      <t>ダイ</t>
    </rPh>
    <rPh sb="5" eb="6">
      <t>ゴウ</t>
    </rPh>
    <phoneticPr fontId="12"/>
  </si>
  <si>
    <t>第0009号明細表より</t>
    <rPh sb="0" eb="1">
      <t>ダイ</t>
    </rPh>
    <rPh sb="5" eb="6">
      <t>ゴウ</t>
    </rPh>
    <rPh sb="6" eb="8">
      <t>メイサイ</t>
    </rPh>
    <rPh sb="8" eb="9">
      <t>ヒョウ</t>
    </rPh>
    <phoneticPr fontId="12"/>
  </si>
  <si>
    <t>第9002号</t>
    <rPh sb="0" eb="1">
      <t>ダイ</t>
    </rPh>
    <rPh sb="5" eb="6">
      <t>ゴウ</t>
    </rPh>
    <phoneticPr fontId="12"/>
  </si>
  <si>
    <t>第9003号</t>
    <rPh sb="0" eb="1">
      <t>ダイ</t>
    </rPh>
    <rPh sb="5" eb="6">
      <t>ゴウ</t>
    </rPh>
    <phoneticPr fontId="12"/>
  </si>
  <si>
    <t>第0013号</t>
    <rPh sb="0" eb="1">
      <t>ダイ</t>
    </rPh>
    <rPh sb="5" eb="6">
      <t>ゴウ</t>
    </rPh>
    <phoneticPr fontId="12"/>
  </si>
  <si>
    <t>上津田地区</t>
    <rPh sb="0" eb="2">
      <t>カミツ</t>
    </rPh>
    <rPh sb="2" eb="3">
      <t>タ</t>
    </rPh>
    <rPh sb="3" eb="5">
      <t>チク</t>
    </rPh>
    <phoneticPr fontId="28"/>
  </si>
  <si>
    <t>第0017号</t>
    <rPh sb="0" eb="1">
      <t>ダイ</t>
    </rPh>
    <rPh sb="5" eb="6">
      <t>ゴウ</t>
    </rPh>
    <phoneticPr fontId="12"/>
  </si>
  <si>
    <t>外城田地区</t>
    <rPh sb="0" eb="3">
      <t>トキダ</t>
    </rPh>
    <rPh sb="3" eb="5">
      <t>チク</t>
    </rPh>
    <phoneticPr fontId="28"/>
  </si>
  <si>
    <t>土羽地区</t>
    <rPh sb="0" eb="2">
      <t>トバ</t>
    </rPh>
    <rPh sb="2" eb="4">
      <t>チク</t>
    </rPh>
    <phoneticPr fontId="28"/>
  </si>
  <si>
    <t>丹生地区</t>
    <rPh sb="0" eb="2">
      <t>ニュウ</t>
    </rPh>
    <rPh sb="2" eb="4">
      <t>チク</t>
    </rPh>
    <phoneticPr fontId="28"/>
  </si>
  <si>
    <t>中継ポンプ施設（電気設備）</t>
    <rPh sb="0" eb="2">
      <t>チュウケイ</t>
    </rPh>
    <rPh sb="5" eb="7">
      <t>シセツ</t>
    </rPh>
    <rPh sb="8" eb="10">
      <t>デンキ</t>
    </rPh>
    <rPh sb="10" eb="12">
      <t>セツビ</t>
    </rPh>
    <phoneticPr fontId="12"/>
  </si>
  <si>
    <t>矢田地区中継ポンプ施設</t>
    <rPh sb="0" eb="2">
      <t>ヤタ</t>
    </rPh>
    <rPh sb="2" eb="4">
      <t>チク</t>
    </rPh>
    <rPh sb="4" eb="6">
      <t>チュウケイ</t>
    </rPh>
    <rPh sb="9" eb="11">
      <t>シセツ</t>
    </rPh>
    <phoneticPr fontId="12"/>
  </si>
  <si>
    <t>外城田地区中継ポンプ施設</t>
    <rPh sb="0" eb="3">
      <t>トキダ</t>
    </rPh>
    <rPh sb="3" eb="5">
      <t>チク</t>
    </rPh>
    <rPh sb="5" eb="7">
      <t>チュウケイ</t>
    </rPh>
    <rPh sb="10" eb="12">
      <t>シセツ</t>
    </rPh>
    <phoneticPr fontId="12"/>
  </si>
  <si>
    <t>補助</t>
    <rPh sb="0" eb="2">
      <t>ホジョ</t>
    </rPh>
    <phoneticPr fontId="12"/>
  </si>
  <si>
    <t>第0011号明細表より</t>
    <rPh sb="0" eb="1">
      <t>ダイ</t>
    </rPh>
    <rPh sb="5" eb="6">
      <t>ゴウ</t>
    </rPh>
    <rPh sb="6" eb="8">
      <t>メイサイ</t>
    </rPh>
    <rPh sb="8" eb="9">
      <t>ヒョウ</t>
    </rPh>
    <phoneticPr fontId="12"/>
  </si>
  <si>
    <t>第0012号</t>
    <rPh sb="0" eb="1">
      <t>ダイ</t>
    </rPh>
    <rPh sb="5" eb="6">
      <t>ゴウ</t>
    </rPh>
    <phoneticPr fontId="12"/>
  </si>
  <si>
    <t/>
  </si>
  <si>
    <t>第</t>
    <rPh sb="0" eb="1">
      <t>ダイ</t>
    </rPh>
    <phoneticPr fontId="32"/>
  </si>
  <si>
    <t>0009</t>
    <phoneticPr fontId="32"/>
  </si>
  <si>
    <t>号 明細表</t>
    <rPh sb="0" eb="1">
      <t>ゴウ</t>
    </rPh>
    <rPh sb="2" eb="4">
      <t>メイサイ</t>
    </rPh>
    <rPh sb="4" eb="5">
      <t>ヒョウ</t>
    </rPh>
    <phoneticPr fontId="32"/>
  </si>
  <si>
    <t>外城田地区機器単体費</t>
    <rPh sb="0" eb="3">
      <t>トキダ</t>
    </rPh>
    <rPh sb="3" eb="5">
      <t>チク</t>
    </rPh>
    <phoneticPr fontId="32"/>
  </si>
  <si>
    <t xml:space="preserve">             1</t>
  </si>
  <si>
    <t>（上段　：前　回　　下段　：今　回）</t>
  </si>
  <si>
    <t>　　　名称　　規格</t>
    <rPh sb="3" eb="5">
      <t>メイショウ</t>
    </rPh>
    <rPh sb="7" eb="9">
      <t>キカク</t>
    </rPh>
    <phoneticPr fontId="32"/>
  </si>
  <si>
    <t>単　位</t>
    <rPh sb="0" eb="1">
      <t>タン</t>
    </rPh>
    <rPh sb="2" eb="3">
      <t>クライ</t>
    </rPh>
    <phoneticPr fontId="32"/>
  </si>
  <si>
    <t>数　　量</t>
    <rPh sb="0" eb="1">
      <t>カズ</t>
    </rPh>
    <rPh sb="3" eb="4">
      <t>リョウ</t>
    </rPh>
    <phoneticPr fontId="32"/>
  </si>
  <si>
    <t>単　　価</t>
    <rPh sb="0" eb="1">
      <t>タン</t>
    </rPh>
    <rPh sb="3" eb="4">
      <t>アタイ</t>
    </rPh>
    <phoneticPr fontId="32"/>
  </si>
  <si>
    <t>金　　額</t>
    <rPh sb="0" eb="1">
      <t>キン</t>
    </rPh>
    <rPh sb="3" eb="4">
      <t>ガク</t>
    </rPh>
    <phoneticPr fontId="32"/>
  </si>
  <si>
    <t>摘要</t>
    <rPh sb="0" eb="2">
      <t>テキヨウ</t>
    </rPh>
    <phoneticPr fontId="32"/>
  </si>
  <si>
    <t>投げ込み式水位計</t>
    <rPh sb="0" eb="1">
      <t>ナ</t>
    </rPh>
    <rPh sb="2" eb="3">
      <t>コ</t>
    </rPh>
    <rPh sb="4" eb="5">
      <t>シキ</t>
    </rPh>
    <rPh sb="5" eb="8">
      <t>スイイケイ</t>
    </rPh>
    <phoneticPr fontId="32"/>
  </si>
  <si>
    <t>台</t>
  </si>
  <si>
    <t>圧力式</t>
    <rPh sb="0" eb="2">
      <t>アツリョク</t>
    </rPh>
    <rPh sb="2" eb="3">
      <t>シキ</t>
    </rPh>
    <phoneticPr fontId="32"/>
  </si>
  <si>
    <t>フロートスイッチ</t>
    <phoneticPr fontId="32"/>
  </si>
  <si>
    <t>バックアップ用</t>
    <rPh sb="6" eb="7">
      <t>ヨウ</t>
    </rPh>
    <phoneticPr fontId="32"/>
  </si>
  <si>
    <t>非常通報装置</t>
    <rPh sb="0" eb="2">
      <t>ヒジョウ</t>
    </rPh>
    <rPh sb="2" eb="4">
      <t>ツウホウ</t>
    </rPh>
    <rPh sb="4" eb="6">
      <t>ソウチ</t>
    </rPh>
    <phoneticPr fontId="32"/>
  </si>
  <si>
    <t>盤内取付型</t>
    <rPh sb="0" eb="1">
      <t>バン</t>
    </rPh>
    <rPh sb="1" eb="2">
      <t>ナイ</t>
    </rPh>
    <rPh sb="2" eb="4">
      <t>トリツケ</t>
    </rPh>
    <rPh sb="4" eb="5">
      <t>カタ</t>
    </rPh>
    <phoneticPr fontId="32"/>
  </si>
  <si>
    <t>合　　計</t>
  </si>
  <si>
    <t>第</t>
  </si>
  <si>
    <t>0010</t>
    <phoneticPr fontId="32"/>
  </si>
  <si>
    <t>号 明細表</t>
  </si>
  <si>
    <t>外城田地区電気設備据付工</t>
    <rPh sb="0" eb="3">
      <t>トキダ</t>
    </rPh>
    <rPh sb="3" eb="5">
      <t>チク</t>
    </rPh>
    <phoneticPr fontId="32"/>
  </si>
  <si>
    <t>　　　名称　　規格</t>
  </si>
  <si>
    <t>単　位</t>
  </si>
  <si>
    <t>数　　量</t>
  </si>
  <si>
    <t>単　　価</t>
  </si>
  <si>
    <t>摘要</t>
  </si>
  <si>
    <t>人</t>
  </si>
  <si>
    <t>据付</t>
  </si>
  <si>
    <t>　</t>
  </si>
  <si>
    <t>0011</t>
    <phoneticPr fontId="32"/>
  </si>
  <si>
    <t>外城田地区技術者間接費</t>
    <rPh sb="0" eb="3">
      <t>トキダ</t>
    </rPh>
    <rPh sb="3" eb="5">
      <t>チク</t>
    </rPh>
    <rPh sb="5" eb="8">
      <t>ギジュツシャ</t>
    </rPh>
    <rPh sb="8" eb="10">
      <t>カンセツ</t>
    </rPh>
    <rPh sb="10" eb="11">
      <t>ヒ</t>
    </rPh>
    <phoneticPr fontId="32"/>
  </si>
  <si>
    <t>調整</t>
    <rPh sb="0" eb="2">
      <t>チョウセイ</t>
    </rPh>
    <phoneticPr fontId="32"/>
  </si>
  <si>
    <t>0012</t>
    <phoneticPr fontId="32"/>
  </si>
  <si>
    <t>外城田地区輸送費</t>
    <rPh sb="0" eb="3">
      <t>トキダ</t>
    </rPh>
    <rPh sb="3" eb="5">
      <t>チク</t>
    </rPh>
    <phoneticPr fontId="32"/>
  </si>
  <si>
    <t>基本運賃料金</t>
  </si>
  <si>
    <t>円/t</t>
  </si>
  <si>
    <t>12m以内　運搬10km～20km</t>
  </si>
  <si>
    <t>外城田地区スクラップ評価額</t>
    <rPh sb="0" eb="3">
      <t>トキダ</t>
    </rPh>
    <rPh sb="3" eb="5">
      <t>チク</t>
    </rPh>
    <phoneticPr fontId="32"/>
  </si>
  <si>
    <t>故銑B</t>
  </si>
  <si>
    <t>t</t>
  </si>
  <si>
    <t>E-4</t>
    <phoneticPr fontId="28"/>
  </si>
  <si>
    <t>E-5</t>
    <phoneticPr fontId="28"/>
  </si>
  <si>
    <r>
      <t>E</t>
    </r>
    <r>
      <rPr>
        <sz val="11"/>
        <rFont val="ＭＳ 明朝"/>
        <family val="1"/>
        <charset val="128"/>
      </rPr>
      <t>PR-5</t>
    </r>
    <phoneticPr fontId="28"/>
  </si>
  <si>
    <r>
      <t>T</t>
    </r>
    <r>
      <rPr>
        <sz val="11"/>
        <rFont val="ＭＳ 明朝"/>
        <family val="1"/>
        <charset val="128"/>
      </rPr>
      <t>-1</t>
    </r>
    <phoneticPr fontId="28"/>
  </si>
  <si>
    <t>式</t>
    <rPh sb="0" eb="1">
      <t>シキ</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</si>
</sst>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3">
    <numFmt numFmtId="176" formatCode="#,##0_ "/>
    <numFmt numFmtId="177" formatCode="#,##0_);[Red]\(#,##0\)"/>
    <numFmt numFmtId="178" formatCode="0_ "/>
    <numFmt numFmtId="179" formatCode="0.00_);[Red]\(0.00\)"/>
    <numFmt numFmtId="180" formatCode="0.00_ "/>
    <numFmt numFmtId="181" formatCode="#,##0.00_ "/>
    <numFmt numFmtId="182" formatCode="0_);[Red]\(0\)"/>
    <numFmt numFmtId="183" formatCode="#,##0.00_);[Red]\(#,##0.00\)"/>
    <numFmt numFmtId="184" formatCode="#,##0;[Red]#,##0"/>
    <numFmt numFmtId="185" formatCode="0.0"/>
    <numFmt numFmtId="186" formatCode="0.0000"/>
    <numFmt numFmtId="187" formatCode="0.00000"/>
    <numFmt numFmtId="188" formatCode="_ \ &quot;¥&quot;* #,##0\ ;_ &quot;¥&quot;* \-#,##0\ ;_ &quot;¥&quot;* &quot;-&quot;\ ;_ @_ "/>
    <numFmt numFmtId="189" formatCode="#,##0_);[Red]\(#,##0\);"/>
    <numFmt numFmtId="190" formatCode=";;"/>
    <numFmt numFmtId="191" formatCode=";[Red]\(#,##0\);[Red]\(0\);[Red]&quot;(　 － 　)&quot;"/>
    <numFmt numFmtId="192" formatCode="#,##0_);;0_);&quot;－　　　&quot;"/>
    <numFmt numFmtId="193" formatCode="#,##0.0_);;0.0_);&quot;－　　　&quot;"/>
    <numFmt numFmtId="194" formatCode=";;;"/>
    <numFmt numFmtId="195" formatCode=";[Red]\(#,##0\);"/>
    <numFmt numFmtId="196" formatCode="0.00;;&quot;－　　&quot;"/>
    <numFmt numFmtId="197" formatCode="0.00_);[Red]\(0.00\);&quot;－　　&quot;"/>
    <numFmt numFmtId="198" formatCode="0;\-0;0"/>
    <numFmt numFmtId="199" formatCode="0.00\ %\ ;;&quot;－　&quot;\%\ "/>
    <numFmt numFmtId="200" formatCode="0.0\ %;;&quot;－ &quot;\%"/>
    <numFmt numFmtId="201" formatCode="[Red]\(0.00\)\ \ "/>
    <numFmt numFmtId="202" formatCode="\ 0.00\ %\ "/>
    <numFmt numFmtId="203" formatCode="[Red]\(0.00\)\ \ \ \ \ \ \ \ \ \ \ \ "/>
    <numFmt numFmtId="204" formatCode="0;&quot;▲ &quot;* #,##0"/>
    <numFmt numFmtId="205" formatCode="0\ \ \ \ \ ;[Red]\(0\)\ \ \ \ "/>
    <numFmt numFmtId="206" formatCode="0.0\ \ \ ;[Red]\(0.0\)\ \ "/>
    <numFmt numFmtId="207" formatCode="[Red]&quot;平成&quot;0&quot;年&quot;"/>
    <numFmt numFmtId="208" formatCode="0&quot; 月&quot;"/>
    <numFmt numFmtId="209" formatCode=";;&quot;－　　 &quot;"/>
    <numFmt numFmtId="210" formatCode=";;&quot;( － )　 &quot;"/>
    <numFmt numFmtId="211" formatCode="\ &quot;¥&quot;* #,##0\ ;\ &quot;¥&quot;* \-#,##0\ ;\ &quot;¥&quot;* ;"/>
    <numFmt numFmtId="212" formatCode="General;;"/>
    <numFmt numFmtId="213" formatCode="#,##0_);[Red]\(#,##0\);&quot;－　　&quot;"/>
    <numFmt numFmtId="214" formatCode="0\ \ \ \ \ ;[Red]\(0\)\ \ \ \ ;&quot;－　　 &quot;"/>
    <numFmt numFmtId="215" formatCode="0\ \ \ \ \ ;[Red]\(0\)\ \ \ \ ;&quot;( － )　 &quot;"/>
    <numFmt numFmtId="216" formatCode="#,###&quot; -&quot;"/>
    <numFmt numFmtId="217" formatCode="#,###&quot;－&quot;"/>
    <numFmt numFmtId="218" formatCode="#,##0_);[Red]\(#,##0\)&quot; &quot;"/>
    <numFmt numFmtId="219" formatCode="&quot; E-&quot;* 0_)"/>
    <numFmt numFmtId="220" formatCode="&quot;E-&quot;0"/>
    <numFmt numFmtId="221" formatCode="#,##0_ ;[Red]\-#,##0\ "/>
    <numFmt numFmtId="222" formatCode="0.0&quot; t&quot;"/>
    <numFmt numFmtId="223" formatCode="0.000"/>
    <numFmt numFmtId="224" formatCode="0.0;;&quot;－　　&quot;"/>
    <numFmt numFmtId="225" formatCode="0\ \ \ \ ;;&quot;－　　 &quot;"/>
    <numFmt numFmtId="226" formatCode="#,##0_);;&quot;－　　　&quot;"/>
    <numFmt numFmtId="227" formatCode="[Red]&quot;令和&quot;0&quot;年&quot;"/>
    <numFmt numFmtId="228" formatCode="#,##0.000;[Red]\-#,##0.000"/>
  </numFmts>
  <fonts count="34" x14ac:knownFonts="1">
    <font>
      <sz val="11"/>
      <name val="ＭＳ 明朝"/>
      <family val="1"/>
      <charset val="128"/>
    </font>
    <font>
      <sz val="11"/>
      <name val="ＭＳ 明朝"/>
      <family val="1"/>
      <charset val="128"/>
    </font>
    <font>
      <sz val="12"/>
      <color indexed="8"/>
      <name val="ＭＳ 明朝"/>
      <family val="1"/>
      <charset val="128"/>
    </font>
    <font>
      <sz val="14"/>
      <name val="ＭＳ 明朝"/>
      <family val="1"/>
      <charset val="128"/>
    </font>
    <font>
      <u/>
      <sz val="16"/>
      <name val="ＭＳ 明朝"/>
      <family val="1"/>
      <charset val="128"/>
    </font>
    <font>
      <u/>
      <sz val="14"/>
      <name val="ＭＳ 明朝"/>
      <family val="1"/>
      <charset val="128"/>
    </font>
    <font>
      <sz val="11"/>
      <color indexed="12"/>
      <name val="ＭＳ 明朝"/>
      <family val="1"/>
      <charset val="128"/>
    </font>
    <font>
      <sz val="11"/>
      <name val="ＭＳ 明朝"/>
      <family val="1"/>
      <charset val="128"/>
    </font>
    <font>
      <u/>
      <sz val="11"/>
      <name val="ＭＳ 明朝"/>
      <family val="1"/>
      <charset val="128"/>
    </font>
    <font>
      <sz val="12"/>
      <name val="ＭＳ 明朝"/>
      <family val="1"/>
      <charset val="128"/>
    </font>
    <font>
      <sz val="11"/>
      <color indexed="10"/>
      <name val="ＭＳ 明朝"/>
      <family val="1"/>
      <charset val="128"/>
    </font>
    <font>
      <sz val="14"/>
      <color indexed="10"/>
      <name val="ＭＳ 明朝"/>
      <family val="1"/>
      <charset val="128"/>
    </font>
    <font>
      <sz val="6"/>
      <name val="ＭＳ Ｐ明朝"/>
      <family val="1"/>
      <charset val="128"/>
    </font>
    <font>
      <sz val="11"/>
      <color indexed="39"/>
      <name val="ＭＳ 明朝"/>
      <family val="1"/>
      <charset val="128"/>
    </font>
    <font>
      <sz val="20"/>
      <name val="ＭＳ 明朝"/>
      <family val="1"/>
      <charset val="128"/>
    </font>
    <font>
      <sz val="12"/>
      <color indexed="10"/>
      <name val="ＭＳ 明朝"/>
      <family val="1"/>
      <charset val="128"/>
    </font>
    <font>
      <sz val="12"/>
      <color indexed="12"/>
      <name val="ＭＳ 明朝"/>
      <family val="1"/>
      <charset val="128"/>
    </font>
    <font>
      <sz val="14"/>
      <color indexed="12"/>
      <name val="ＭＳ 明朝"/>
      <family val="1"/>
      <charset val="128"/>
    </font>
    <font>
      <sz val="16"/>
      <name val="ＭＳ 明朝"/>
      <family val="1"/>
      <charset val="128"/>
    </font>
    <font>
      <sz val="18"/>
      <name val="ＭＳ 明朝"/>
      <family val="1"/>
      <charset val="128"/>
    </font>
    <font>
      <sz val="11"/>
      <name val="ＭＳ ゴシック"/>
      <family val="3"/>
      <charset val="128"/>
    </font>
    <font>
      <sz val="11"/>
      <color indexed="10"/>
      <name val="ＭＳ ゴシック"/>
      <family val="3"/>
      <charset val="128"/>
    </font>
    <font>
      <u/>
      <sz val="16"/>
      <name val="ＭＳ ゴシック"/>
      <family val="3"/>
      <charset val="128"/>
    </font>
    <font>
      <sz val="14"/>
      <name val="ＭＳ ゴシック"/>
      <family val="3"/>
      <charset val="128"/>
    </font>
    <font>
      <u/>
      <sz val="14"/>
      <name val="ＭＳ ゴシック"/>
      <family val="3"/>
      <charset val="128"/>
    </font>
    <font>
      <sz val="12"/>
      <color indexed="8"/>
      <name val="ＭＳ ゴシック"/>
      <family val="3"/>
      <charset val="128"/>
    </font>
    <font>
      <u/>
      <sz val="16"/>
      <color indexed="12"/>
      <name val="ＭＳ ゴシック"/>
      <family val="3"/>
      <charset val="128"/>
    </font>
    <font>
      <sz val="10.5"/>
      <name val="ＭＳ 明朝"/>
      <family val="1"/>
      <charset val="128"/>
    </font>
    <font>
      <sz val="6"/>
      <name val="ＭＳ 明朝"/>
      <family val="1"/>
      <charset val="128"/>
    </font>
    <font>
      <sz val="11"/>
      <color rgb="FF0000FF"/>
      <name val="ＭＳ 明朝"/>
      <family val="1"/>
      <charset val="128"/>
    </font>
    <font>
      <sz val="11"/>
      <color rgb="FFFF0000"/>
      <name val="ＭＳ 明朝"/>
      <family val="1"/>
      <charset val="128"/>
    </font>
    <font>
      <sz val="11"/>
      <color rgb="FF0000FF"/>
      <name val="ＭＳ ゴシック"/>
      <family val="3"/>
      <charset val="128"/>
    </font>
    <font>
      <sz val="6"/>
      <name val="ＭＳ Ｐゴシック"/>
      <family val="3"/>
      <charset val="128"/>
    </font>
    <font>
      <sz val="11"/>
      <color theme="1"/>
      <name val="ＭＳ 明朝"/>
      <family val="1"/>
      <charset val="128"/>
    </font>
  </fonts>
  <fills count="7">
    <fill>
      <patternFill patternType="none"/>
    </fill>
    <fill>
      <patternFill patternType="gray125"/>
    </fill>
    <fill>
      <patternFill patternType="solid">
        <fgColor indexed="42"/>
        <bgColor indexed="64"/>
      </patternFill>
    </fill>
    <fill>
      <patternFill patternType="solid">
        <fgColor indexed="13"/>
        <bgColor indexed="64"/>
      </patternFill>
    </fill>
    <fill>
      <patternFill patternType="solid">
        <fgColor indexed="43"/>
        <bgColor indexed="64"/>
      </patternFill>
    </fill>
    <fill>
      <patternFill patternType="solid">
        <fgColor theme="8" tint="0.59999389629810485"/>
        <bgColor indexed="64"/>
      </patternFill>
    </fill>
    <fill>
      <patternFill patternType="solid">
        <fgColor theme="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double">
        <color indexed="64"/>
      </bottom>
      <diagonal/>
    </border>
    <border>
      <left/>
      <right/>
      <top/>
      <bottom style="dotted">
        <color indexed="64"/>
      </bottom>
      <diagonal/>
    </border>
    <border>
      <left/>
      <right/>
      <top/>
      <bottom style="dashed">
        <color indexed="64"/>
      </bottom>
      <diagonal/>
    </border>
    <border>
      <left style="thin">
        <color indexed="64"/>
      </left>
      <right/>
      <top/>
      <bottom style="double">
        <color indexed="64"/>
      </bottom>
      <diagonal/>
    </border>
    <border>
      <left style="thin">
        <color indexed="64"/>
      </left>
      <right/>
      <top/>
      <bottom style="dotted">
        <color indexed="64"/>
      </bottom>
      <diagonal/>
    </border>
    <border>
      <left style="thin">
        <color indexed="64"/>
      </left>
      <right/>
      <top/>
      <bottom style="dashed">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top/>
      <bottom style="double">
        <color indexed="64"/>
      </bottom>
      <diagonal/>
    </border>
    <border>
      <left style="thin">
        <color indexed="64"/>
      </left>
      <right style="medium">
        <color indexed="64"/>
      </right>
      <top/>
      <bottom style="double">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dotted">
        <color indexed="64"/>
      </bottom>
      <diagonal/>
    </border>
    <border>
      <left style="thin">
        <color indexed="64"/>
      </left>
      <right style="medium">
        <color indexed="64"/>
      </right>
      <top/>
      <bottom style="dotted">
        <color indexed="64"/>
      </bottom>
      <diagonal/>
    </border>
    <border>
      <left style="medium">
        <color indexed="64"/>
      </left>
      <right/>
      <top/>
      <bottom style="dashed">
        <color indexed="64"/>
      </bottom>
      <diagonal/>
    </border>
    <border>
      <left style="thin">
        <color indexed="64"/>
      </left>
      <right style="medium">
        <color indexed="64"/>
      </right>
      <top/>
      <bottom style="dashed">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ashed">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top style="thin">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double">
        <color indexed="64"/>
      </top>
      <bottom/>
      <diagonal/>
    </border>
    <border>
      <left style="medium">
        <color indexed="64"/>
      </left>
      <right style="thin">
        <color indexed="64"/>
      </right>
      <top/>
      <bottom style="medium">
        <color indexed="64"/>
      </bottom>
      <diagonal/>
    </border>
    <border>
      <left style="medium">
        <color indexed="64"/>
      </left>
      <right/>
      <top style="dotted">
        <color indexed="64"/>
      </top>
      <bottom style="dashed">
        <color indexed="64"/>
      </bottom>
      <diagonal/>
    </border>
    <border>
      <left style="thin">
        <color indexed="64"/>
      </left>
      <right/>
      <top style="dotted">
        <color indexed="64"/>
      </top>
      <bottom style="dashed">
        <color indexed="64"/>
      </bottom>
      <diagonal/>
    </border>
    <border>
      <left style="thin">
        <color indexed="64"/>
      </left>
      <right style="medium">
        <color indexed="64"/>
      </right>
      <top style="dotted">
        <color indexed="64"/>
      </top>
      <bottom style="dashed">
        <color indexed="64"/>
      </bottom>
      <diagonal/>
    </border>
    <border>
      <left style="medium">
        <color indexed="10"/>
      </left>
      <right style="medium">
        <color indexed="10"/>
      </right>
      <top style="medium">
        <color indexed="10"/>
      </top>
      <bottom style="thin">
        <color indexed="64"/>
      </bottom>
      <diagonal/>
    </border>
    <border>
      <left style="medium">
        <color indexed="10"/>
      </left>
      <right style="medium">
        <color indexed="10"/>
      </right>
      <top style="thin">
        <color indexed="64"/>
      </top>
      <bottom style="medium">
        <color indexed="10"/>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dotted">
        <color indexed="64"/>
      </left>
      <right/>
      <top/>
      <bottom style="thin">
        <color indexed="64"/>
      </bottom>
      <diagonal/>
    </border>
    <border>
      <left style="dotted">
        <color indexed="64"/>
      </left>
      <right/>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style="dotted">
        <color indexed="64"/>
      </top>
      <bottom style="double">
        <color indexed="64"/>
      </bottom>
      <diagonal/>
    </border>
    <border>
      <left style="thin">
        <color indexed="64"/>
      </left>
      <right style="thin">
        <color indexed="64"/>
      </right>
      <top style="dotted">
        <color indexed="64"/>
      </top>
      <bottom/>
      <diagonal/>
    </border>
    <border>
      <left style="thin">
        <color indexed="64"/>
      </left>
      <right style="thin">
        <color indexed="64"/>
      </right>
      <top style="double">
        <color indexed="64"/>
      </top>
      <bottom/>
      <diagonal/>
    </border>
    <border>
      <left/>
      <right/>
      <top style="double">
        <color indexed="64"/>
      </top>
      <bottom/>
      <diagonal/>
    </border>
    <border>
      <left style="thin">
        <color indexed="64"/>
      </left>
      <right style="thin">
        <color indexed="64"/>
      </right>
      <top style="medium">
        <color indexed="64"/>
      </top>
      <bottom/>
      <diagonal/>
    </border>
    <border>
      <left style="thin">
        <color indexed="64"/>
      </left>
      <right style="thin">
        <color indexed="64"/>
      </right>
      <top style="double">
        <color indexed="64"/>
      </top>
      <bottom style="dotted">
        <color indexed="64"/>
      </bottom>
      <diagonal/>
    </border>
    <border>
      <left/>
      <right style="medium">
        <color indexed="64"/>
      </right>
      <top style="double">
        <color indexed="64"/>
      </top>
      <bottom/>
      <diagonal/>
    </border>
    <border>
      <left style="thin">
        <color indexed="64"/>
      </left>
      <right/>
      <top style="double">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double">
        <color indexed="64"/>
      </bottom>
      <diagonal/>
    </border>
    <border>
      <left/>
      <right style="thin">
        <color indexed="64"/>
      </right>
      <top style="medium">
        <color indexed="64"/>
      </top>
      <bottom/>
      <diagonal/>
    </border>
    <border>
      <left/>
      <right style="thin">
        <color indexed="64"/>
      </right>
      <top/>
      <bottom style="double">
        <color indexed="64"/>
      </bottom>
      <diagonal/>
    </border>
    <border>
      <left/>
      <right style="medium">
        <color indexed="64"/>
      </right>
      <top/>
      <bottom style="double">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810">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applyAlignment="1">
      <alignment horizontal="center"/>
    </xf>
    <xf numFmtId="0" fontId="0" fillId="0" borderId="3" xfId="0" applyBorder="1"/>
    <xf numFmtId="0" fontId="0" fillId="0" borderId="4" xfId="0" applyBorder="1" applyAlignment="1">
      <alignment horizontal="center"/>
    </xf>
    <xf numFmtId="0" fontId="0" fillId="0" borderId="4" xfId="0" applyBorder="1" applyAlignment="1">
      <alignment horizontal="centerContinuous"/>
    </xf>
    <xf numFmtId="0" fontId="0" fillId="0" borderId="5" xfId="0" applyBorder="1" applyAlignment="1">
      <alignment horizontal="center"/>
    </xf>
    <xf numFmtId="0" fontId="0" fillId="0" borderId="5" xfId="0" applyBorder="1"/>
    <xf numFmtId="0" fontId="0" fillId="0" borderId="4" xfId="0" applyBorder="1"/>
    <xf numFmtId="0" fontId="0" fillId="0" borderId="5" xfId="0" applyBorder="1" applyAlignment="1">
      <alignment horizontal="right"/>
    </xf>
    <xf numFmtId="177" fontId="0" fillId="0" borderId="4" xfId="0" applyNumberFormat="1" applyBorder="1"/>
    <xf numFmtId="177" fontId="0" fillId="0" borderId="5" xfId="0" applyNumberFormat="1" applyBorder="1"/>
    <xf numFmtId="0" fontId="0" fillId="0" borderId="6" xfId="0" applyBorder="1" applyAlignment="1">
      <alignment horizontal="centerContinuous"/>
    </xf>
    <xf numFmtId="0" fontId="0" fillId="0" borderId="7" xfId="0" applyBorder="1" applyAlignment="1">
      <alignment horizontal="centerContinuous"/>
    </xf>
    <xf numFmtId="0" fontId="0" fillId="0" borderId="8" xfId="0" applyBorder="1"/>
    <xf numFmtId="0" fontId="0" fillId="0" borderId="9" xfId="0" applyBorder="1" applyAlignment="1">
      <alignment horizontal="center"/>
    </xf>
    <xf numFmtId="0" fontId="0" fillId="0" borderId="9" xfId="0" applyBorder="1"/>
    <xf numFmtId="0" fontId="0" fillId="0" borderId="10" xfId="0" applyBorder="1"/>
    <xf numFmtId="0" fontId="0" fillId="0" borderId="0" xfId="0" applyBorder="1" applyAlignment="1">
      <alignment horizontal="center"/>
    </xf>
    <xf numFmtId="0" fontId="0" fillId="0" borderId="0" xfId="0" applyBorder="1"/>
    <xf numFmtId="0" fontId="0" fillId="0" borderId="11" xfId="0" applyBorder="1"/>
    <xf numFmtId="0" fontId="0" fillId="0" borderId="12" xfId="0" applyBorder="1"/>
    <xf numFmtId="0" fontId="0" fillId="0" borderId="12" xfId="0" applyBorder="1" applyAlignment="1">
      <alignment horizontal="center"/>
    </xf>
    <xf numFmtId="0" fontId="0" fillId="0" borderId="0" xfId="0" applyBorder="1" applyAlignment="1">
      <alignment horizontal="centerContinuous"/>
    </xf>
    <xf numFmtId="0" fontId="0" fillId="0" borderId="11" xfId="0" applyBorder="1" applyAlignment="1">
      <alignment horizontal="centerContinuous"/>
    </xf>
    <xf numFmtId="0" fontId="0" fillId="0" borderId="13" xfId="0" applyBorder="1" applyAlignment="1">
      <alignment horizontal="center"/>
    </xf>
    <xf numFmtId="0" fontId="0" fillId="0" borderId="14" xfId="0" applyBorder="1"/>
    <xf numFmtId="0" fontId="0" fillId="0" borderId="15" xfId="0" applyBorder="1" applyAlignment="1">
      <alignment horizontal="center"/>
    </xf>
    <xf numFmtId="0" fontId="0" fillId="0" borderId="15" xfId="0" applyBorder="1"/>
    <xf numFmtId="177" fontId="0" fillId="0" borderId="15" xfId="0" applyNumberFormat="1" applyBorder="1"/>
    <xf numFmtId="0" fontId="0" fillId="0" borderId="5" xfId="0" applyBorder="1" applyAlignment="1">
      <alignment horizontal="centerContinuous"/>
    </xf>
    <xf numFmtId="0" fontId="5" fillId="0" borderId="0" xfId="0" applyFont="1" applyAlignment="1">
      <alignment horizontal="centerContinuous"/>
    </xf>
    <xf numFmtId="0" fontId="0" fillId="0" borderId="0" xfId="0" applyAlignment="1">
      <alignment horizontal="centerContinuous"/>
    </xf>
    <xf numFmtId="0" fontId="0" fillId="0" borderId="16" xfId="0" applyBorder="1" applyAlignment="1">
      <alignment horizontal="centerContinuous"/>
    </xf>
    <xf numFmtId="0" fontId="0" fillId="0" borderId="16" xfId="0" applyBorder="1"/>
    <xf numFmtId="0" fontId="0" fillId="0" borderId="17" xfId="0" applyBorder="1" applyAlignment="1">
      <alignment horizontal="centerContinuous"/>
    </xf>
    <xf numFmtId="0" fontId="0" fillId="0" borderId="18" xfId="0" applyBorder="1" applyAlignment="1">
      <alignment horizontal="centerContinuous"/>
    </xf>
    <xf numFmtId="0" fontId="0" fillId="0" borderId="19" xfId="0" applyBorder="1" applyAlignment="1">
      <alignment horizontal="center"/>
    </xf>
    <xf numFmtId="0" fontId="0" fillId="0" borderId="19" xfId="0" applyBorder="1"/>
    <xf numFmtId="177" fontId="0" fillId="0" borderId="20" xfId="0" applyNumberFormat="1" applyBorder="1"/>
    <xf numFmtId="177" fontId="0" fillId="0" borderId="21" xfId="0" applyNumberFormat="1" applyBorder="1"/>
    <xf numFmtId="0" fontId="0" fillId="0" borderId="21" xfId="0" applyBorder="1"/>
    <xf numFmtId="177" fontId="0" fillId="0" borderId="19" xfId="0" applyNumberFormat="1" applyBorder="1"/>
    <xf numFmtId="0" fontId="0" fillId="0" borderId="8" xfId="0" applyBorder="1" applyAlignment="1">
      <alignment horizontal="centerContinuous"/>
    </xf>
    <xf numFmtId="0" fontId="0" fillId="0" borderId="9" xfId="0" applyBorder="1" applyAlignment="1">
      <alignment horizontal="centerContinuous"/>
    </xf>
    <xf numFmtId="0" fontId="0" fillId="0" borderId="22" xfId="0" applyBorder="1" applyAlignment="1">
      <alignment horizontal="center"/>
    </xf>
    <xf numFmtId="0" fontId="0" fillId="0" borderId="23" xfId="0" applyBorder="1"/>
    <xf numFmtId="0" fontId="0" fillId="0" borderId="12" xfId="0" applyBorder="1" applyAlignment="1">
      <alignment horizontal="centerContinuous"/>
    </xf>
    <xf numFmtId="0" fontId="0" fillId="0" borderId="24" xfId="0" applyBorder="1"/>
    <xf numFmtId="0" fontId="0" fillId="0" borderId="25" xfId="0" applyBorder="1" applyAlignment="1">
      <alignment horizontal="centerContinuous"/>
    </xf>
    <xf numFmtId="0" fontId="0" fillId="0" borderId="26" xfId="0" applyBorder="1"/>
    <xf numFmtId="0" fontId="0" fillId="0" borderId="14" xfId="0" applyBorder="1" applyAlignment="1">
      <alignment horizontal="centerContinuous"/>
    </xf>
    <xf numFmtId="0" fontId="0" fillId="0" borderId="27" xfId="0" applyBorder="1" applyAlignment="1">
      <alignment horizontal="centerContinuous"/>
    </xf>
    <xf numFmtId="0" fontId="0" fillId="0" borderId="28" xfId="0" applyBorder="1"/>
    <xf numFmtId="0" fontId="0" fillId="0" borderId="19" xfId="0" applyBorder="1" applyAlignment="1">
      <alignment horizontal="right"/>
    </xf>
    <xf numFmtId="0" fontId="0" fillId="0" borderId="8" xfId="0" applyBorder="1" applyAlignment="1">
      <alignment horizontal="center"/>
    </xf>
    <xf numFmtId="0" fontId="0" fillId="0" borderId="23" xfId="0" applyBorder="1" applyAlignment="1">
      <alignment horizontal="center"/>
    </xf>
    <xf numFmtId="0" fontId="0" fillId="0" borderId="24" xfId="0" applyBorder="1" applyAlignment="1"/>
    <xf numFmtId="0" fontId="0" fillId="0" borderId="25" xfId="0" applyBorder="1" applyAlignment="1">
      <alignment horizontal="center"/>
    </xf>
    <xf numFmtId="0" fontId="0" fillId="0" borderId="26" xfId="0" applyBorder="1" applyAlignment="1">
      <alignment horizontal="right"/>
    </xf>
    <xf numFmtId="178" fontId="0" fillId="0" borderId="29" xfId="0" applyNumberFormat="1" applyBorder="1" applyAlignment="1"/>
    <xf numFmtId="177" fontId="0" fillId="0" borderId="30" xfId="0" applyNumberFormat="1" applyBorder="1"/>
    <xf numFmtId="178" fontId="0" fillId="0" borderId="31" xfId="0" applyNumberFormat="1" applyBorder="1" applyAlignment="1"/>
    <xf numFmtId="177" fontId="0" fillId="0" borderId="32" xfId="0" applyNumberFormat="1" applyBorder="1"/>
    <xf numFmtId="178" fontId="0" fillId="0" borderId="25" xfId="0" applyNumberFormat="1" applyBorder="1" applyAlignment="1"/>
    <xf numFmtId="177" fontId="0" fillId="0" borderId="26" xfId="0" applyNumberFormat="1" applyBorder="1"/>
    <xf numFmtId="0" fontId="0" fillId="0" borderId="14" xfId="0" applyBorder="1" applyAlignment="1">
      <alignment horizontal="center"/>
    </xf>
    <xf numFmtId="0" fontId="0" fillId="0" borderId="24" xfId="0" applyBorder="1" applyAlignment="1">
      <alignment horizontal="center"/>
    </xf>
    <xf numFmtId="0" fontId="0" fillId="0" borderId="26" xfId="0" applyBorder="1" applyAlignment="1">
      <alignment horizontal="center"/>
    </xf>
    <xf numFmtId="0" fontId="0" fillId="0" borderId="25" xfId="0" applyBorder="1"/>
    <xf numFmtId="178" fontId="0" fillId="0" borderId="29" xfId="0" applyNumberFormat="1" applyBorder="1"/>
    <xf numFmtId="178" fontId="0" fillId="0" borderId="25" xfId="0" applyNumberFormat="1" applyBorder="1"/>
    <xf numFmtId="176" fontId="0" fillId="0" borderId="20" xfId="0" applyNumberFormat="1" applyBorder="1"/>
    <xf numFmtId="176" fontId="0" fillId="0" borderId="19" xfId="0" applyNumberFormat="1" applyBorder="1"/>
    <xf numFmtId="176" fontId="0" fillId="0" borderId="15" xfId="0" applyNumberFormat="1" applyBorder="1"/>
    <xf numFmtId="177" fontId="0" fillId="0" borderId="20" xfId="0" applyNumberFormat="1" applyBorder="1" applyAlignment="1">
      <alignment horizontal="right"/>
    </xf>
    <xf numFmtId="0" fontId="0" fillId="0" borderId="2" xfId="0" applyBorder="1" applyAlignment="1">
      <alignment horizontal="centerContinuous"/>
    </xf>
    <xf numFmtId="0" fontId="0" fillId="0" borderId="0" xfId="0" applyBorder="1" applyAlignment="1">
      <alignment horizontal="right"/>
    </xf>
    <xf numFmtId="0" fontId="0" fillId="0" borderId="33" xfId="0" applyBorder="1"/>
    <xf numFmtId="0" fontId="0" fillId="0" borderId="2" xfId="0" applyBorder="1" applyAlignment="1">
      <alignment horizontal="right"/>
    </xf>
    <xf numFmtId="0" fontId="0" fillId="0" borderId="6" xfId="0" applyBorder="1"/>
    <xf numFmtId="0" fontId="0" fillId="0" borderId="7" xfId="0" applyBorder="1"/>
    <xf numFmtId="2" fontId="6" fillId="0" borderId="5" xfId="0" applyNumberFormat="1" applyFont="1" applyBorder="1"/>
    <xf numFmtId="2" fontId="6" fillId="0" borderId="34" xfId="0" applyNumberFormat="1" applyFont="1" applyBorder="1"/>
    <xf numFmtId="0" fontId="6" fillId="0" borderId="34" xfId="0" applyFont="1" applyBorder="1"/>
    <xf numFmtId="0" fontId="0" fillId="0" borderId="6" xfId="0" applyBorder="1" applyAlignment="1">
      <alignment horizontal="center"/>
    </xf>
    <xf numFmtId="0" fontId="0" fillId="0" borderId="35" xfId="0" applyBorder="1" applyAlignment="1">
      <alignment horizontal="center"/>
    </xf>
    <xf numFmtId="181" fontId="0" fillId="0" borderId="15" xfId="0" applyNumberFormat="1" applyBorder="1"/>
    <xf numFmtId="181" fontId="0" fillId="0" borderId="28" xfId="0" applyNumberFormat="1" applyBorder="1"/>
    <xf numFmtId="2" fontId="0" fillId="0" borderId="11" xfId="0" applyNumberFormat="1" applyBorder="1" applyAlignment="1">
      <alignment horizontal="left"/>
    </xf>
    <xf numFmtId="0" fontId="7" fillId="0" borderId="0" xfId="0" applyFont="1" applyAlignment="1">
      <alignment horizontal="centerContinuous"/>
    </xf>
    <xf numFmtId="0" fontId="0" fillId="0" borderId="7" xfId="0" applyBorder="1" applyAlignment="1">
      <alignment horizontal="right"/>
    </xf>
    <xf numFmtId="0" fontId="6" fillId="0" borderId="35" xfId="0" applyFont="1" applyBorder="1"/>
    <xf numFmtId="0" fontId="0" fillId="0" borderId="36" xfId="0" applyBorder="1"/>
    <xf numFmtId="0" fontId="0" fillId="0" borderId="37" xfId="0" applyBorder="1"/>
    <xf numFmtId="0" fontId="0" fillId="0" borderId="18" xfId="0" applyBorder="1"/>
    <xf numFmtId="0" fontId="0" fillId="0" borderId="38" xfId="0" applyBorder="1"/>
    <xf numFmtId="49" fontId="0" fillId="0" borderId="0" xfId="0" applyNumberFormat="1" applyAlignment="1">
      <alignment horizontal="centerContinuous"/>
    </xf>
    <xf numFmtId="0" fontId="0" fillId="0" borderId="0" xfId="0" applyAlignment="1">
      <alignment horizontal="right"/>
    </xf>
    <xf numFmtId="0" fontId="8" fillId="0" borderId="0" xfId="0" applyFont="1" applyAlignment="1">
      <alignment horizontal="centerContinuous"/>
    </xf>
    <xf numFmtId="0" fontId="0" fillId="0" borderId="22" xfId="0" applyBorder="1"/>
    <xf numFmtId="177" fontId="3" fillId="0" borderId="0" xfId="0" applyNumberFormat="1" applyFont="1" applyBorder="1" applyAlignment="1"/>
    <xf numFmtId="0" fontId="2" fillId="0" borderId="11" xfId="0" applyFont="1" applyBorder="1" applyAlignment="1" applyProtection="1"/>
    <xf numFmtId="0" fontId="0" fillId="0" borderId="39" xfId="0" applyBorder="1"/>
    <xf numFmtId="0" fontId="0" fillId="0" borderId="24" xfId="0" applyBorder="1" applyAlignment="1">
      <alignment horizontal="centerContinuous"/>
    </xf>
    <xf numFmtId="0" fontId="0" fillId="0" borderId="40" xfId="0" applyBorder="1"/>
    <xf numFmtId="0" fontId="0" fillId="0" borderId="40" xfId="0" applyBorder="1" applyAlignment="1">
      <alignment horizontal="centerContinuous"/>
    </xf>
    <xf numFmtId="0" fontId="0" fillId="0" borderId="41" xfId="0" applyBorder="1" applyAlignment="1">
      <alignment horizontal="centerContinuous"/>
    </xf>
    <xf numFmtId="0" fontId="0" fillId="0" borderId="42" xfId="0" applyBorder="1" applyAlignment="1">
      <alignment horizontal="centerContinuous"/>
    </xf>
    <xf numFmtId="0" fontId="9" fillId="0" borderId="0" xfId="0" applyFont="1"/>
    <xf numFmtId="0" fontId="9" fillId="0" borderId="11" xfId="0" applyFont="1" applyBorder="1"/>
    <xf numFmtId="0" fontId="0" fillId="0" borderId="0" xfId="0" applyAlignment="1"/>
    <xf numFmtId="0" fontId="0" fillId="0" borderId="0" xfId="0" applyNumberFormat="1"/>
    <xf numFmtId="0" fontId="0" fillId="0" borderId="20" xfId="0" applyBorder="1" applyAlignment="1">
      <alignment horizontal="centerContinuous"/>
    </xf>
    <xf numFmtId="0" fontId="10" fillId="0" borderId="0" xfId="0" applyFont="1"/>
    <xf numFmtId="0" fontId="0" fillId="0" borderId="4" xfId="0" applyBorder="1" applyAlignment="1"/>
    <xf numFmtId="49" fontId="0" fillId="0" borderId="0" xfId="0" applyNumberFormat="1" applyAlignment="1">
      <alignment horizontal="right"/>
    </xf>
    <xf numFmtId="0" fontId="3" fillId="0" borderId="0" xfId="0" applyFont="1"/>
    <xf numFmtId="0" fontId="3" fillId="0" borderId="0" xfId="0" applyFont="1" applyAlignment="1"/>
    <xf numFmtId="0" fontId="3" fillId="0" borderId="0" xfId="0" applyFont="1" applyAlignment="1">
      <alignment horizontal="right"/>
    </xf>
    <xf numFmtId="0" fontId="0" fillId="0" borderId="3" xfId="0" applyNumberFormat="1" applyBorder="1"/>
    <xf numFmtId="2" fontId="0" fillId="0" borderId="1" xfId="0" applyNumberFormat="1" applyBorder="1"/>
    <xf numFmtId="185" fontId="0" fillId="0" borderId="1" xfId="0" applyNumberFormat="1" applyBorder="1"/>
    <xf numFmtId="186" fontId="0" fillId="0" borderId="1" xfId="0" applyNumberFormat="1" applyBorder="1"/>
    <xf numFmtId="2" fontId="0" fillId="0" borderId="36" xfId="0" applyNumberFormat="1" applyBorder="1"/>
    <xf numFmtId="2" fontId="0" fillId="0" borderId="2" xfId="0" applyNumberFormat="1" applyBorder="1"/>
    <xf numFmtId="2" fontId="0" fillId="0" borderId="33" xfId="0" applyNumberFormat="1" applyBorder="1"/>
    <xf numFmtId="185" fontId="0" fillId="0" borderId="2" xfId="0" applyNumberFormat="1" applyBorder="1"/>
    <xf numFmtId="186" fontId="0" fillId="0" borderId="2" xfId="0" applyNumberFormat="1" applyBorder="1"/>
    <xf numFmtId="2" fontId="0" fillId="0" borderId="43" xfId="0" applyNumberFormat="1" applyBorder="1"/>
    <xf numFmtId="2" fontId="0" fillId="0" borderId="44" xfId="0" applyNumberFormat="1" applyBorder="1"/>
    <xf numFmtId="0" fontId="0" fillId="0" borderId="43" xfId="0" applyBorder="1"/>
    <xf numFmtId="2" fontId="0" fillId="0" borderId="45" xfId="0" applyNumberFormat="1" applyBorder="1"/>
    <xf numFmtId="0" fontId="0" fillId="0" borderId="46" xfId="0" applyBorder="1"/>
    <xf numFmtId="186" fontId="6" fillId="0" borderId="5" xfId="0" applyNumberFormat="1" applyFont="1" applyBorder="1"/>
    <xf numFmtId="186" fontId="6" fillId="0" borderId="34" xfId="0" applyNumberFormat="1" applyFont="1" applyBorder="1"/>
    <xf numFmtId="0" fontId="11" fillId="0" borderId="0" xfId="0" applyNumberFormat="1" applyFont="1" applyAlignment="1">
      <alignment horizontal="center"/>
    </xf>
    <xf numFmtId="0" fontId="0" fillId="0" borderId="40" xfId="0" applyBorder="1" applyAlignment="1">
      <alignment horizontal="right"/>
    </xf>
    <xf numFmtId="0" fontId="0" fillId="0" borderId="0" xfId="0" applyBorder="1" applyAlignment="1"/>
    <xf numFmtId="0" fontId="0" fillId="0" borderId="40" xfId="0" applyBorder="1" applyAlignment="1">
      <alignment horizontal="center"/>
    </xf>
    <xf numFmtId="0" fontId="0" fillId="0" borderId="40" xfId="0" applyBorder="1" applyAlignment="1"/>
    <xf numFmtId="0" fontId="0" fillId="0" borderId="5" xfId="0" quotePrefix="1" applyBorder="1" applyAlignment="1">
      <alignment horizontal="right"/>
    </xf>
    <xf numFmtId="184" fontId="13" fillId="0" borderId="4" xfId="0" applyNumberFormat="1" applyFont="1" applyBorder="1"/>
    <xf numFmtId="184" fontId="13" fillId="0" borderId="5" xfId="0" applyNumberFormat="1" applyFont="1" applyBorder="1"/>
    <xf numFmtId="184" fontId="13" fillId="0" borderId="15" xfId="0" applyNumberFormat="1" applyFont="1" applyBorder="1"/>
    <xf numFmtId="182" fontId="13" fillId="0" borderId="4" xfId="0" applyNumberFormat="1" applyFont="1" applyBorder="1" applyAlignment="1">
      <alignment horizontal="center"/>
    </xf>
    <xf numFmtId="182" fontId="13" fillId="0" borderId="5" xfId="0" applyNumberFormat="1" applyFont="1" applyBorder="1" applyAlignment="1">
      <alignment horizontal="center"/>
    </xf>
    <xf numFmtId="184" fontId="13" fillId="0" borderId="4" xfId="0" applyNumberFormat="1" applyFont="1" applyBorder="1" applyProtection="1">
      <protection locked="0"/>
    </xf>
    <xf numFmtId="184" fontId="13" fillId="0" borderId="5" xfId="0" applyNumberFormat="1" applyFont="1" applyBorder="1" applyProtection="1">
      <protection locked="0"/>
    </xf>
    <xf numFmtId="184" fontId="13" fillId="0" borderId="15" xfId="0" applyNumberFormat="1" applyFont="1" applyBorder="1" applyProtection="1">
      <protection locked="0"/>
    </xf>
    <xf numFmtId="0" fontId="14" fillId="0" borderId="0" xfId="0" applyFont="1"/>
    <xf numFmtId="0" fontId="3" fillId="0" borderId="0" xfId="0" applyFont="1" applyAlignment="1">
      <alignment vertical="center"/>
    </xf>
    <xf numFmtId="0" fontId="14" fillId="0" borderId="47" xfId="0" applyFont="1" applyBorder="1"/>
    <xf numFmtId="0" fontId="9" fillId="0" borderId="42" xfId="0" applyFont="1" applyBorder="1" applyAlignment="1">
      <alignment horizontal="distributed" vertical="center"/>
    </xf>
    <xf numFmtId="0" fontId="9" fillId="0" borderId="42" xfId="0" applyFont="1" applyBorder="1"/>
    <xf numFmtId="0" fontId="9" fillId="0" borderId="41" xfId="0" applyFont="1" applyBorder="1"/>
    <xf numFmtId="0" fontId="9" fillId="0" borderId="48" xfId="0" applyFont="1" applyBorder="1"/>
    <xf numFmtId="0" fontId="14" fillId="0" borderId="13" xfId="0" applyFont="1" applyBorder="1"/>
    <xf numFmtId="0" fontId="9" fillId="0" borderId="2" xfId="0" applyFont="1" applyBorder="1" applyAlignment="1">
      <alignment horizontal="distributed" vertical="center"/>
    </xf>
    <xf numFmtId="0" fontId="9" fillId="0" borderId="2" xfId="0" applyFont="1" applyBorder="1"/>
    <xf numFmtId="0" fontId="9" fillId="0" borderId="5" xfId="0" applyFont="1" applyBorder="1"/>
    <xf numFmtId="0" fontId="9" fillId="0" borderId="2" xfId="0" applyFont="1" applyBorder="1" applyAlignment="1">
      <alignment vertical="center"/>
    </xf>
    <xf numFmtId="0" fontId="9" fillId="0" borderId="49" xfId="0" applyFont="1" applyBorder="1"/>
    <xf numFmtId="0" fontId="0" fillId="0" borderId="12" xfId="0" applyFont="1" applyBorder="1"/>
    <xf numFmtId="0" fontId="9" fillId="0" borderId="0" xfId="0" applyFont="1" applyBorder="1"/>
    <xf numFmtId="0" fontId="9" fillId="0" borderId="4" xfId="0" applyFont="1" applyBorder="1"/>
    <xf numFmtId="177" fontId="3" fillId="0" borderId="0" xfId="0" applyNumberFormat="1" applyFont="1" applyBorder="1"/>
    <xf numFmtId="177" fontId="11" fillId="0" borderId="0" xfId="0" applyNumberFormat="1" applyFont="1" applyAlignment="1">
      <alignment horizontal="right"/>
    </xf>
    <xf numFmtId="188" fontId="3" fillId="0" borderId="0" xfId="0" applyNumberFormat="1" applyFont="1" applyBorder="1" applyAlignment="1">
      <alignment horizontal="right"/>
    </xf>
    <xf numFmtId="0" fontId="9" fillId="0" borderId="0" xfId="0" applyFont="1" applyBorder="1" applyAlignment="1">
      <alignment horizontal="distributed"/>
    </xf>
    <xf numFmtId="0" fontId="9" fillId="0" borderId="0" xfId="0" applyFont="1" applyBorder="1" applyAlignment="1">
      <alignment horizontal="distributed" vertical="center"/>
    </xf>
    <xf numFmtId="0" fontId="3" fillId="0" borderId="0" xfId="0" applyFont="1" applyBorder="1"/>
    <xf numFmtId="0" fontId="9" fillId="0" borderId="0" xfId="0" applyFont="1" applyBorder="1" applyAlignment="1">
      <alignment horizontal="right" vertical="top"/>
    </xf>
    <xf numFmtId="0" fontId="0" fillId="0" borderId="13" xfId="0" applyFont="1" applyBorder="1"/>
    <xf numFmtId="0" fontId="9" fillId="0" borderId="2" xfId="0" applyFont="1" applyBorder="1" applyAlignment="1">
      <alignment horizontal="center" vertical="center"/>
    </xf>
    <xf numFmtId="0" fontId="9" fillId="0" borderId="0" xfId="0" applyFont="1" applyBorder="1" applyAlignment="1"/>
    <xf numFmtId="0" fontId="9" fillId="0" borderId="2" xfId="0" applyFont="1" applyBorder="1" applyAlignment="1">
      <alignment horizontal="distributed"/>
    </xf>
    <xf numFmtId="0" fontId="9" fillId="0" borderId="2" xfId="0" applyFont="1" applyBorder="1" applyAlignment="1"/>
    <xf numFmtId="0" fontId="0" fillId="0" borderId="14" xfId="0" applyFont="1" applyBorder="1"/>
    <xf numFmtId="0" fontId="9" fillId="0" borderId="27" xfId="0" applyFont="1" applyBorder="1"/>
    <xf numFmtId="0" fontId="6" fillId="0" borderId="12" xfId="0" applyFont="1" applyBorder="1" applyAlignment="1" applyProtection="1">
      <alignment horizontal="center"/>
      <protection locked="0"/>
    </xf>
    <xf numFmtId="0" fontId="6" fillId="0" borderId="4" xfId="0" applyFont="1" applyBorder="1" applyAlignment="1" applyProtection="1">
      <alignment horizontal="center"/>
      <protection locked="0"/>
    </xf>
    <xf numFmtId="0" fontId="6" fillId="0" borderId="4" xfId="0" applyFont="1" applyBorder="1" applyProtection="1">
      <protection locked="0"/>
    </xf>
    <xf numFmtId="0" fontId="6" fillId="0" borderId="24" xfId="0" applyFont="1" applyBorder="1" applyProtection="1">
      <protection locked="0"/>
    </xf>
    <xf numFmtId="0" fontId="6" fillId="0" borderId="13" xfId="0" applyFont="1" applyBorder="1" applyAlignment="1" applyProtection="1">
      <alignment horizontal="center"/>
      <protection locked="0"/>
    </xf>
    <xf numFmtId="0" fontId="6" fillId="0" borderId="5" xfId="0" applyFont="1" applyBorder="1" applyAlignment="1" applyProtection="1">
      <alignment horizontal="center"/>
      <protection locked="0"/>
    </xf>
    <xf numFmtId="0" fontId="6" fillId="0" borderId="5" xfId="0" applyFont="1" applyBorder="1" applyProtection="1">
      <protection locked="0"/>
    </xf>
    <xf numFmtId="0" fontId="6" fillId="0" borderId="40" xfId="0" applyFont="1" applyBorder="1" applyProtection="1">
      <protection locked="0"/>
    </xf>
    <xf numFmtId="0" fontId="6" fillId="0" borderId="14" xfId="0" applyFont="1" applyBorder="1" applyAlignment="1" applyProtection="1">
      <alignment horizontal="center"/>
      <protection locked="0"/>
    </xf>
    <xf numFmtId="0" fontId="6" fillId="0" borderId="15" xfId="0" applyFont="1" applyBorder="1" applyAlignment="1" applyProtection="1">
      <alignment horizontal="center"/>
      <protection locked="0"/>
    </xf>
    <xf numFmtId="0" fontId="6" fillId="0" borderId="15" xfId="0" applyFont="1" applyBorder="1" applyProtection="1">
      <protection locked="0"/>
    </xf>
    <xf numFmtId="0" fontId="6" fillId="0" borderId="28" xfId="0" applyFont="1" applyBorder="1" applyProtection="1">
      <protection locked="0"/>
    </xf>
    <xf numFmtId="0" fontId="6" fillId="0" borderId="50" xfId="0" applyFont="1" applyBorder="1" applyAlignment="1" applyProtection="1">
      <alignment horizontal="center"/>
      <protection locked="0"/>
    </xf>
    <xf numFmtId="177" fontId="10" fillId="0" borderId="4" xfId="0" applyNumberFormat="1" applyFont="1" applyBorder="1" applyAlignment="1">
      <alignment horizontal="right"/>
    </xf>
    <xf numFmtId="0" fontId="0" fillId="0" borderId="27" xfId="0" applyBorder="1" applyAlignment="1">
      <alignment horizontal="right"/>
    </xf>
    <xf numFmtId="0" fontId="10" fillId="0" borderId="24" xfId="0" applyFont="1" applyBorder="1"/>
    <xf numFmtId="177" fontId="10" fillId="0" borderId="20" xfId="0" quotePrefix="1" applyNumberFormat="1" applyFont="1" applyBorder="1" applyAlignment="1">
      <alignment horizontal="right"/>
    </xf>
    <xf numFmtId="177" fontId="10" fillId="0" borderId="20" xfId="0" applyNumberFormat="1" applyFont="1" applyBorder="1"/>
    <xf numFmtId="177" fontId="10" fillId="0" borderId="4" xfId="0" applyNumberFormat="1" applyFont="1" applyBorder="1"/>
    <xf numFmtId="177" fontId="10" fillId="0" borderId="24" xfId="0" applyNumberFormat="1" applyFont="1" applyBorder="1" applyAlignment="1">
      <alignment horizontal="right"/>
    </xf>
    <xf numFmtId="177" fontId="10" fillId="0" borderId="4" xfId="0" quotePrefix="1" applyNumberFormat="1" applyFont="1" applyBorder="1" applyAlignment="1">
      <alignment horizontal="right"/>
    </xf>
    <xf numFmtId="183" fontId="10" fillId="0" borderId="4" xfId="0" applyNumberFormat="1" applyFont="1" applyBorder="1" applyAlignment="1">
      <alignment horizontal="right"/>
    </xf>
    <xf numFmtId="183" fontId="10" fillId="0" borderId="24" xfId="0" applyNumberFormat="1" applyFont="1" applyBorder="1" applyAlignment="1">
      <alignment horizontal="right"/>
    </xf>
    <xf numFmtId="190" fontId="6" fillId="0" borderId="5" xfId="0" applyNumberFormat="1" applyFont="1" applyBorder="1" applyAlignment="1" applyProtection="1">
      <alignment horizontal="center"/>
      <protection locked="0"/>
    </xf>
    <xf numFmtId="191" fontId="10" fillId="0" borderId="4" xfId="0" applyNumberFormat="1" applyFont="1" applyBorder="1" applyAlignment="1">
      <alignment horizontal="right"/>
    </xf>
    <xf numFmtId="190" fontId="0" fillId="0" borderId="4" xfId="0" applyNumberFormat="1" applyBorder="1" applyAlignment="1">
      <alignment horizontal="center"/>
    </xf>
    <xf numFmtId="190" fontId="0" fillId="0" borderId="5" xfId="0" applyNumberFormat="1" applyBorder="1" applyAlignment="1">
      <alignment horizontal="center"/>
    </xf>
    <xf numFmtId="190" fontId="0" fillId="0" borderId="15" xfId="0" applyNumberFormat="1" applyBorder="1" applyAlignment="1">
      <alignment horizontal="center"/>
    </xf>
    <xf numFmtId="190" fontId="6" fillId="0" borderId="4" xfId="0" applyNumberFormat="1" applyFont="1" applyBorder="1" applyAlignment="1" applyProtection="1">
      <alignment horizontal="center"/>
      <protection locked="0"/>
    </xf>
    <xf numFmtId="190" fontId="6" fillId="0" borderId="15" xfId="0" applyNumberFormat="1" applyFont="1" applyBorder="1" applyAlignment="1" applyProtection="1">
      <alignment horizontal="center"/>
      <protection locked="0"/>
    </xf>
    <xf numFmtId="190" fontId="6" fillId="0" borderId="4" xfId="0" applyNumberFormat="1" applyFont="1" applyBorder="1" applyAlignment="1" applyProtection="1">
      <protection locked="0"/>
    </xf>
    <xf numFmtId="190" fontId="6" fillId="0" borderId="5" xfId="0" applyNumberFormat="1" applyFont="1" applyBorder="1" applyAlignment="1" applyProtection="1">
      <alignment horizontal="right"/>
      <protection locked="0"/>
    </xf>
    <xf numFmtId="190" fontId="6" fillId="0" borderId="4" xfId="0" applyNumberFormat="1" applyFont="1" applyBorder="1" applyAlignment="1" applyProtection="1">
      <alignment horizontal="left"/>
      <protection locked="0"/>
    </xf>
    <xf numFmtId="0" fontId="6" fillId="2" borderId="0" xfId="0" applyFont="1" applyFill="1" applyProtection="1">
      <protection locked="0"/>
    </xf>
    <xf numFmtId="192" fontId="0" fillId="0" borderId="5" xfId="0" applyNumberFormat="1" applyBorder="1" applyAlignment="1">
      <alignment horizontal="right"/>
    </xf>
    <xf numFmtId="192" fontId="0" fillId="0" borderId="15" xfId="0" applyNumberFormat="1" applyBorder="1" applyAlignment="1">
      <alignment horizontal="right"/>
    </xf>
    <xf numFmtId="193" fontId="0" fillId="0" borderId="0" xfId="0" applyNumberFormat="1"/>
    <xf numFmtId="1" fontId="0" fillId="0" borderId="0" xfId="0" applyNumberFormat="1"/>
    <xf numFmtId="0" fontId="0" fillId="0" borderId="0" xfId="0" applyAlignment="1">
      <alignment vertical="center"/>
    </xf>
    <xf numFmtId="0" fontId="16" fillId="0" borderId="51" xfId="0" applyFont="1" applyBorder="1" applyAlignment="1" applyProtection="1">
      <alignment horizontal="center" vertical="center"/>
      <protection locked="0"/>
    </xf>
    <xf numFmtId="0" fontId="0" fillId="0" borderId="0" xfId="0" quotePrefix="1" applyAlignment="1">
      <alignment vertical="center"/>
    </xf>
    <xf numFmtId="0" fontId="0" fillId="0" borderId="0" xfId="0" quotePrefix="1" applyAlignment="1">
      <alignment horizontal="right" vertical="center"/>
    </xf>
    <xf numFmtId="0" fontId="10" fillId="0" borderId="0" xfId="0" applyFont="1" applyAlignment="1">
      <alignment horizontal="right"/>
    </xf>
    <xf numFmtId="194" fontId="6" fillId="0" borderId="0" xfId="0" applyNumberFormat="1" applyFont="1" applyProtection="1">
      <protection locked="0"/>
    </xf>
    <xf numFmtId="194" fontId="6" fillId="0" borderId="2" xfId="0" applyNumberFormat="1" applyFont="1" applyBorder="1" applyProtection="1">
      <protection locked="0"/>
    </xf>
    <xf numFmtId="194" fontId="6" fillId="0" borderId="0" xfId="0" applyNumberFormat="1" applyFont="1" applyBorder="1" applyProtection="1">
      <protection locked="0"/>
    </xf>
    <xf numFmtId="194" fontId="6" fillId="0" borderId="27" xfId="0" applyNumberFormat="1" applyFont="1" applyBorder="1" applyProtection="1">
      <protection locked="0"/>
    </xf>
    <xf numFmtId="195" fontId="0" fillId="0" borderId="4" xfId="0" applyNumberFormat="1" applyBorder="1"/>
    <xf numFmtId="0" fontId="0" fillId="0" borderId="0" xfId="0" applyFill="1" applyBorder="1" applyAlignment="1">
      <alignment horizontal="center"/>
    </xf>
    <xf numFmtId="196" fontId="0" fillId="0" borderId="45" xfId="0" applyNumberFormat="1" applyBorder="1"/>
    <xf numFmtId="197" fontId="10" fillId="0" borderId="4" xfId="0" applyNumberFormat="1" applyFont="1" applyBorder="1"/>
    <xf numFmtId="0" fontId="0" fillId="0" borderId="0" xfId="0" applyFill="1" applyBorder="1" applyAlignment="1"/>
    <xf numFmtId="0" fontId="0" fillId="0" borderId="0" xfId="0" applyNumberFormat="1" applyFill="1" applyBorder="1"/>
    <xf numFmtId="196" fontId="0" fillId="0" borderId="0" xfId="0" applyNumberFormat="1"/>
    <xf numFmtId="10" fontId="0" fillId="0" borderId="0" xfId="1" applyNumberFormat="1" applyFont="1" applyBorder="1"/>
    <xf numFmtId="10" fontId="0" fillId="0" borderId="0" xfId="1" applyNumberFormat="1" applyFont="1"/>
    <xf numFmtId="198" fontId="0" fillId="0" borderId="0" xfId="0" applyNumberFormat="1"/>
    <xf numFmtId="0" fontId="0" fillId="3" borderId="0" xfId="0" applyFill="1" applyAlignment="1">
      <alignment horizontal="center"/>
    </xf>
    <xf numFmtId="199" fontId="0" fillId="0" borderId="5" xfId="0" applyNumberFormat="1" applyBorder="1" applyAlignment="1">
      <alignment horizontal="right"/>
    </xf>
    <xf numFmtId="199" fontId="0" fillId="0" borderId="5" xfId="1" applyNumberFormat="1" applyFont="1" applyBorder="1"/>
    <xf numFmtId="199" fontId="0" fillId="0" borderId="5" xfId="0" applyNumberFormat="1" applyBorder="1"/>
    <xf numFmtId="199" fontId="0" fillId="0" borderId="15" xfId="0" applyNumberFormat="1" applyBorder="1"/>
    <xf numFmtId="179" fontId="10" fillId="0" borderId="4" xfId="0" applyNumberFormat="1" applyFont="1" applyBorder="1" applyAlignment="1">
      <alignment horizontal="right"/>
    </xf>
    <xf numFmtId="179" fontId="0" fillId="0" borderId="15" xfId="0" applyNumberFormat="1" applyBorder="1"/>
    <xf numFmtId="200" fontId="6" fillId="0" borderId="5" xfId="0" applyNumberFormat="1" applyFont="1" applyBorder="1" applyAlignment="1">
      <alignment horizontal="right"/>
    </xf>
    <xf numFmtId="200" fontId="6" fillId="0" borderId="34" xfId="0" applyNumberFormat="1" applyFont="1" applyBorder="1" applyAlignment="1">
      <alignment horizontal="right"/>
    </xf>
    <xf numFmtId="201" fontId="10" fillId="0" borderId="4" xfId="0" applyNumberFormat="1" applyFont="1" applyBorder="1" applyAlignment="1">
      <alignment horizontal="right"/>
    </xf>
    <xf numFmtId="202" fontId="0" fillId="0" borderId="11" xfId="0" applyNumberFormat="1" applyBorder="1" applyAlignment="1">
      <alignment horizontal="left"/>
    </xf>
    <xf numFmtId="202" fontId="0" fillId="0" borderId="52" xfId="0" applyNumberFormat="1" applyBorder="1" applyAlignment="1">
      <alignment horizontal="left"/>
    </xf>
    <xf numFmtId="201" fontId="10" fillId="0" borderId="11" xfId="0" applyNumberFormat="1" applyFont="1" applyBorder="1" applyAlignment="1">
      <alignment horizontal="left"/>
    </xf>
    <xf numFmtId="203" fontId="0" fillId="0" borderId="4" xfId="0" applyNumberFormat="1" applyBorder="1" applyAlignment="1">
      <alignment horizontal="right"/>
    </xf>
    <xf numFmtId="0" fontId="6" fillId="0" borderId="53" xfId="0" applyFont="1" applyBorder="1" applyAlignment="1" applyProtection="1">
      <alignment horizontal="center"/>
      <protection locked="0"/>
    </xf>
    <xf numFmtId="0" fontId="6" fillId="0" borderId="54" xfId="0" applyFont="1" applyBorder="1" applyAlignment="1" applyProtection="1">
      <alignment horizontal="center"/>
      <protection locked="0"/>
    </xf>
    <xf numFmtId="190" fontId="0" fillId="0" borderId="4" xfId="0" applyNumberFormat="1" applyBorder="1" applyAlignment="1"/>
    <xf numFmtId="190" fontId="0" fillId="0" borderId="5" xfId="0" applyNumberFormat="1" applyBorder="1" applyAlignment="1">
      <alignment horizontal="right"/>
    </xf>
    <xf numFmtId="0" fontId="0" fillId="0" borderId="0" xfId="0" applyFont="1"/>
    <xf numFmtId="0" fontId="0" fillId="0" borderId="0" xfId="0" applyFont="1" applyAlignment="1">
      <alignment horizontal="right"/>
    </xf>
    <xf numFmtId="0" fontId="0" fillId="0" borderId="0" xfId="0" applyFont="1" applyBorder="1"/>
    <xf numFmtId="178" fontId="0" fillId="0" borderId="55" xfId="0" applyNumberFormat="1" applyBorder="1" applyAlignment="1"/>
    <xf numFmtId="177" fontId="0" fillId="0" borderId="56" xfId="0" applyNumberFormat="1" applyBorder="1"/>
    <xf numFmtId="177" fontId="0" fillId="0" borderId="57" xfId="0" applyNumberFormat="1" applyBorder="1"/>
    <xf numFmtId="176" fontId="0" fillId="0" borderId="20" xfId="0" applyNumberFormat="1" applyBorder="1" applyAlignment="1">
      <alignment horizontal="right"/>
    </xf>
    <xf numFmtId="181" fontId="0" fillId="0" borderId="20" xfId="0" applyNumberFormat="1" applyBorder="1" applyAlignment="1">
      <alignment horizontal="right"/>
    </xf>
    <xf numFmtId="181" fontId="0" fillId="0" borderId="30" xfId="0" applyNumberFormat="1" applyBorder="1" applyAlignment="1">
      <alignment horizontal="right"/>
    </xf>
    <xf numFmtId="176" fontId="0" fillId="0" borderId="19" xfId="0" applyNumberFormat="1" applyBorder="1" applyAlignment="1">
      <alignment horizontal="right"/>
    </xf>
    <xf numFmtId="181" fontId="0" fillId="0" borderId="19" xfId="0" applyNumberFormat="1" applyBorder="1" applyAlignment="1">
      <alignment horizontal="right"/>
    </xf>
    <xf numFmtId="181" fontId="0" fillId="0" borderId="26" xfId="0" applyNumberFormat="1" applyBorder="1" applyAlignment="1">
      <alignment horizontal="right"/>
    </xf>
    <xf numFmtId="187" fontId="0" fillId="0" borderId="2" xfId="0" applyNumberFormat="1" applyBorder="1"/>
    <xf numFmtId="0" fontId="10" fillId="0" borderId="0" xfId="0" applyFont="1" applyFill="1" applyBorder="1" applyAlignment="1">
      <alignment horizontal="centerContinuous"/>
    </xf>
    <xf numFmtId="204" fontId="10" fillId="0" borderId="0" xfId="0" applyNumberFormat="1" applyFont="1"/>
    <xf numFmtId="194" fontId="9" fillId="0" borderId="4" xfId="0" applyNumberFormat="1" applyFont="1" applyBorder="1"/>
    <xf numFmtId="194" fontId="9" fillId="0" borderId="0" xfId="0" applyNumberFormat="1" applyFont="1" applyBorder="1"/>
    <xf numFmtId="194" fontId="9" fillId="0" borderId="11" xfId="0" applyNumberFormat="1" applyFont="1" applyBorder="1"/>
    <xf numFmtId="194" fontId="0" fillId="0" borderId="0" xfId="0" applyNumberFormat="1"/>
    <xf numFmtId="194" fontId="9" fillId="0" borderId="0" xfId="0" applyNumberFormat="1" applyFont="1" applyBorder="1" applyAlignment="1">
      <alignment horizontal="distributed"/>
    </xf>
    <xf numFmtId="194" fontId="9" fillId="0" borderId="15" xfId="0" applyNumberFormat="1" applyFont="1" applyBorder="1"/>
    <xf numFmtId="194" fontId="9" fillId="0" borderId="27" xfId="0" applyNumberFormat="1" applyFont="1" applyBorder="1"/>
    <xf numFmtId="194" fontId="9" fillId="0" borderId="52" xfId="0" applyNumberFormat="1" applyFont="1" applyBorder="1"/>
    <xf numFmtId="0" fontId="9" fillId="0" borderId="0" xfId="0" applyFont="1" applyAlignment="1">
      <alignment horizontal="right" vertical="center"/>
    </xf>
    <xf numFmtId="177" fontId="11" fillId="4" borderId="58" xfId="0" applyNumberFormat="1" applyFont="1" applyFill="1" applyBorder="1" applyAlignment="1">
      <alignment vertical="center"/>
    </xf>
    <xf numFmtId="177" fontId="17" fillId="4" borderId="59" xfId="0" applyNumberFormat="1" applyFont="1" applyFill="1" applyBorder="1" applyAlignment="1">
      <alignment vertical="center"/>
    </xf>
    <xf numFmtId="0" fontId="18" fillId="0" borderId="12" xfId="0" applyFont="1" applyBorder="1"/>
    <xf numFmtId="0" fontId="19" fillId="0" borderId="0" xfId="0" applyFont="1"/>
    <xf numFmtId="0" fontId="18" fillId="0" borderId="0" xfId="0" applyFont="1"/>
    <xf numFmtId="0" fontId="4" fillId="0" borderId="12" xfId="0" applyFont="1" applyBorder="1" applyAlignment="1">
      <alignment horizontal="centerContinuous" vertical="top"/>
    </xf>
    <xf numFmtId="205" fontId="0" fillId="0" borderId="4" xfId="0" applyNumberFormat="1" applyBorder="1"/>
    <xf numFmtId="205" fontId="0" fillId="0" borderId="5" xfId="0" applyNumberFormat="1" applyBorder="1"/>
    <xf numFmtId="205" fontId="0" fillId="0" borderId="15" xfId="0" applyNumberFormat="1" applyBorder="1"/>
    <xf numFmtId="206" fontId="0" fillId="0" borderId="5" xfId="0" applyNumberFormat="1" applyBorder="1"/>
    <xf numFmtId="206" fontId="10" fillId="0" borderId="4" xfId="0" applyNumberFormat="1" applyFont="1" applyBorder="1" applyAlignment="1">
      <alignment horizontal="right"/>
    </xf>
    <xf numFmtId="207" fontId="11" fillId="0" borderId="0" xfId="0" applyNumberFormat="1" applyFont="1" applyAlignment="1">
      <alignment horizontal="center"/>
    </xf>
    <xf numFmtId="208" fontId="11" fillId="0" borderId="0" xfId="0" applyNumberFormat="1" applyFont="1" applyAlignment="1">
      <alignment horizontal="center"/>
    </xf>
    <xf numFmtId="182" fontId="16" fillId="0" borderId="51" xfId="0" applyNumberFormat="1" applyFont="1" applyBorder="1" applyAlignment="1" applyProtection="1">
      <protection locked="0"/>
    </xf>
    <xf numFmtId="0" fontId="9" fillId="0" borderId="0" xfId="0" applyNumberFormat="1" applyFont="1" applyAlignment="1"/>
    <xf numFmtId="209" fontId="0" fillId="0" borderId="5" xfId="0" applyNumberFormat="1" applyFont="1" applyBorder="1" applyAlignment="1" applyProtection="1">
      <alignment horizontal="right"/>
    </xf>
    <xf numFmtId="210" fontId="10" fillId="0" borderId="4" xfId="0" applyNumberFormat="1" applyFont="1" applyBorder="1" applyAlignment="1" applyProtection="1">
      <alignment horizontal="right"/>
    </xf>
    <xf numFmtId="209" fontId="0" fillId="0" borderId="60" xfId="0" applyNumberFormat="1" applyFont="1" applyBorder="1" applyAlignment="1" applyProtection="1">
      <alignment horizontal="right"/>
    </xf>
    <xf numFmtId="209" fontId="0" fillId="0" borderId="15" xfId="0" applyNumberFormat="1" applyFont="1" applyBorder="1" applyAlignment="1" applyProtection="1">
      <alignment horizontal="right"/>
    </xf>
    <xf numFmtId="210" fontId="10" fillId="0" borderId="4" xfId="0" applyNumberFormat="1" applyFont="1" applyBorder="1" applyAlignment="1">
      <alignment horizontal="right"/>
    </xf>
    <xf numFmtId="209" fontId="0" fillId="0" borderId="5" xfId="0" applyNumberFormat="1" applyBorder="1" applyAlignment="1">
      <alignment horizontal="right"/>
    </xf>
    <xf numFmtId="209" fontId="0" fillId="0" borderId="15" xfId="0" applyNumberFormat="1" applyBorder="1" applyAlignment="1">
      <alignment horizontal="right"/>
    </xf>
    <xf numFmtId="211" fontId="5" fillId="0" borderId="0" xfId="0" applyNumberFormat="1" applyFont="1" applyBorder="1" applyAlignment="1">
      <alignment horizontal="right" vertical="top"/>
    </xf>
    <xf numFmtId="212" fontId="0" fillId="0" borderId="4" xfId="0" applyNumberFormat="1" applyBorder="1" applyAlignment="1">
      <alignment horizontal="center"/>
    </xf>
    <xf numFmtId="212" fontId="0" fillId="0" borderId="5" xfId="0" applyNumberFormat="1" applyBorder="1" applyAlignment="1">
      <alignment horizontal="center"/>
    </xf>
    <xf numFmtId="212" fontId="0" fillId="0" borderId="15" xfId="0" applyNumberFormat="1" applyBorder="1" applyAlignment="1">
      <alignment horizontal="center"/>
    </xf>
    <xf numFmtId="213" fontId="0" fillId="0" borderId="20" xfId="0" applyNumberFormat="1" applyBorder="1" applyAlignment="1"/>
    <xf numFmtId="213" fontId="0" fillId="0" borderId="20" xfId="0" applyNumberFormat="1" applyBorder="1" applyAlignment="1">
      <alignment horizontal="right"/>
    </xf>
    <xf numFmtId="214" fontId="0" fillId="0" borderId="5" xfId="0" applyNumberFormat="1" applyBorder="1"/>
    <xf numFmtId="215" fontId="0" fillId="0" borderId="4" xfId="0" applyNumberFormat="1" applyBorder="1"/>
    <xf numFmtId="178" fontId="16" fillId="0" borderId="61" xfId="0" applyNumberFormat="1" applyFont="1" applyBorder="1" applyProtection="1">
      <protection locked="0"/>
    </xf>
    <xf numFmtId="180" fontId="16" fillId="0" borderId="62" xfId="0" applyNumberFormat="1" applyFont="1" applyBorder="1" applyProtection="1">
      <protection locked="0"/>
    </xf>
    <xf numFmtId="178" fontId="16" fillId="0" borderId="63" xfId="0" applyNumberFormat="1" applyFont="1" applyBorder="1" applyProtection="1">
      <protection locked="0"/>
    </xf>
    <xf numFmtId="0" fontId="9" fillId="0" borderId="0" xfId="0" applyFont="1" applyAlignment="1">
      <alignment horizontal="right"/>
    </xf>
    <xf numFmtId="208" fontId="15" fillId="0" borderId="0" xfId="0" applyNumberFormat="1" applyFont="1" applyAlignment="1"/>
    <xf numFmtId="211" fontId="0" fillId="0" borderId="0" xfId="0" applyNumberFormat="1" applyBorder="1" applyAlignment="1">
      <alignment horizontal="center"/>
    </xf>
    <xf numFmtId="190" fontId="0" fillId="0" borderId="4" xfId="0" applyNumberFormat="1" applyBorder="1" applyAlignment="1">
      <alignment horizontal="left"/>
    </xf>
    <xf numFmtId="194" fontId="9" fillId="0" borderId="0" xfId="0" applyNumberFormat="1" applyFont="1" applyAlignment="1">
      <alignment horizontal="center"/>
    </xf>
    <xf numFmtId="194" fontId="9" fillId="0" borderId="0" xfId="0" applyNumberFormat="1" applyFont="1" applyBorder="1" applyAlignment="1">
      <alignment horizontal="distributed" vertical="center"/>
    </xf>
    <xf numFmtId="194" fontId="0" fillId="0" borderId="0" xfId="0" applyNumberFormat="1" applyAlignment="1">
      <alignment vertical="center"/>
    </xf>
    <xf numFmtId="194" fontId="16" fillId="0" borderId="0" xfId="0" applyNumberFormat="1" applyFont="1" applyBorder="1" applyAlignment="1">
      <alignment horizontal="center"/>
    </xf>
    <xf numFmtId="194" fontId="16" fillId="0" borderId="0" xfId="2" applyNumberFormat="1" applyFont="1" applyBorder="1" applyAlignment="1">
      <alignment horizontal="center"/>
    </xf>
    <xf numFmtId="194" fontId="0" fillId="0" borderId="0" xfId="0" applyNumberFormat="1" applyAlignment="1"/>
    <xf numFmtId="194" fontId="9" fillId="0" borderId="11" xfId="0" applyNumberFormat="1" applyFont="1" applyBorder="1" applyAlignment="1">
      <alignment vertical="center"/>
    </xf>
    <xf numFmtId="0" fontId="9" fillId="0" borderId="0" xfId="0" applyFont="1" applyBorder="1" applyAlignment="1">
      <alignment horizontal="left"/>
    </xf>
    <xf numFmtId="0" fontId="9" fillId="0" borderId="0" xfId="0" applyFont="1" applyBorder="1" applyAlignment="1">
      <alignment horizontal="left" vertical="top"/>
    </xf>
    <xf numFmtId="216" fontId="9" fillId="0" borderId="0" xfId="0" applyNumberFormat="1" applyFont="1" applyBorder="1" applyAlignment="1">
      <alignment horizontal="center" vertical="top"/>
    </xf>
    <xf numFmtId="0" fontId="14" fillId="0" borderId="64" xfId="0" applyFont="1" applyBorder="1"/>
    <xf numFmtId="0" fontId="9" fillId="0" borderId="1" xfId="0" applyFont="1" applyBorder="1"/>
    <xf numFmtId="0" fontId="9" fillId="0" borderId="3" xfId="0" applyFont="1" applyBorder="1"/>
    <xf numFmtId="0" fontId="9" fillId="0" borderId="65" xfId="0" applyFont="1" applyBorder="1"/>
    <xf numFmtId="0" fontId="0" fillId="0" borderId="20" xfId="0" applyBorder="1" applyAlignment="1">
      <alignment horizontal="left"/>
    </xf>
    <xf numFmtId="0" fontId="0" fillId="0" borderId="21" xfId="0" applyBorder="1" applyAlignment="1">
      <alignment horizontal="left"/>
    </xf>
    <xf numFmtId="0" fontId="0" fillId="0" borderId="19" xfId="0" applyBorder="1" applyAlignment="1">
      <alignment horizontal="left"/>
    </xf>
    <xf numFmtId="213" fontId="0" fillId="0" borderId="56" xfId="0" applyNumberFormat="1" applyBorder="1" applyAlignment="1"/>
    <xf numFmtId="213" fontId="0" fillId="0" borderId="56" xfId="0" applyNumberFormat="1" applyBorder="1" applyAlignment="1">
      <alignment horizontal="right"/>
    </xf>
    <xf numFmtId="176" fontId="0" fillId="0" borderId="56" xfId="0" applyNumberFormat="1" applyBorder="1"/>
    <xf numFmtId="176" fontId="0" fillId="0" borderId="56" xfId="0" applyNumberFormat="1" applyBorder="1" applyAlignment="1">
      <alignment horizontal="right"/>
    </xf>
    <xf numFmtId="181" fontId="0" fillId="0" borderId="56" xfId="0" applyNumberFormat="1" applyBorder="1" applyAlignment="1">
      <alignment horizontal="right"/>
    </xf>
    <xf numFmtId="181" fontId="0" fillId="0" borderId="57" xfId="0" applyNumberFormat="1" applyBorder="1" applyAlignment="1">
      <alignment horizontal="right"/>
    </xf>
    <xf numFmtId="177" fontId="0" fillId="0" borderId="56" xfId="0" applyNumberFormat="1" applyBorder="1" applyAlignment="1">
      <alignment horizontal="right"/>
    </xf>
    <xf numFmtId="0" fontId="20" fillId="0" borderId="20" xfId="0" applyFont="1" applyBorder="1" applyAlignment="1">
      <alignment horizontal="left"/>
    </xf>
    <xf numFmtId="0" fontId="20" fillId="0" borderId="17" xfId="0" applyFont="1" applyBorder="1" applyAlignment="1">
      <alignment horizontal="centerContinuous"/>
    </xf>
    <xf numFmtId="177" fontId="20" fillId="0" borderId="20" xfId="0" applyNumberFormat="1" applyFont="1" applyBorder="1"/>
    <xf numFmtId="177" fontId="20" fillId="0" borderId="30" xfId="0" applyNumberFormat="1" applyFont="1" applyBorder="1"/>
    <xf numFmtId="177" fontId="20" fillId="0" borderId="20" xfId="0" applyNumberFormat="1" applyFont="1" applyBorder="1" applyAlignment="1">
      <alignment horizontal="right"/>
    </xf>
    <xf numFmtId="177" fontId="21" fillId="0" borderId="20" xfId="0" applyNumberFormat="1" applyFont="1" applyBorder="1"/>
    <xf numFmtId="177" fontId="20" fillId="0" borderId="15" xfId="0" applyNumberFormat="1" applyFont="1" applyBorder="1"/>
    <xf numFmtId="177" fontId="20" fillId="0" borderId="28" xfId="0" applyNumberFormat="1" applyFont="1" applyBorder="1"/>
    <xf numFmtId="213" fontId="20" fillId="0" borderId="20" xfId="0" applyNumberFormat="1" applyFont="1" applyBorder="1" applyAlignment="1"/>
    <xf numFmtId="213" fontId="20" fillId="0" borderId="20" xfId="0" applyNumberFormat="1" applyFont="1" applyBorder="1" applyAlignment="1">
      <alignment horizontal="right"/>
    </xf>
    <xf numFmtId="213" fontId="20" fillId="0" borderId="15" xfId="0" applyNumberFormat="1" applyFont="1" applyBorder="1" applyAlignment="1">
      <alignment horizontal="right"/>
    </xf>
    <xf numFmtId="176" fontId="20" fillId="0" borderId="20" xfId="0" applyNumberFormat="1" applyFont="1" applyBorder="1"/>
    <xf numFmtId="176" fontId="20" fillId="0" borderId="20" xfId="0" applyNumberFormat="1" applyFont="1" applyBorder="1" applyAlignment="1">
      <alignment horizontal="right"/>
    </xf>
    <xf numFmtId="181" fontId="20" fillId="0" borderId="20" xfId="0" applyNumberFormat="1" applyFont="1" applyBorder="1" applyAlignment="1">
      <alignment horizontal="right"/>
    </xf>
    <xf numFmtId="181" fontId="20" fillId="0" borderId="30" xfId="0" applyNumberFormat="1" applyFont="1" applyBorder="1" applyAlignment="1">
      <alignment horizontal="right"/>
    </xf>
    <xf numFmtId="176" fontId="20" fillId="0" borderId="15" xfId="0" applyNumberFormat="1" applyFont="1" applyBorder="1"/>
    <xf numFmtId="177" fontId="20" fillId="0" borderId="15" xfId="0" applyNumberFormat="1" applyFont="1" applyBorder="1" applyAlignment="1">
      <alignment horizontal="right"/>
    </xf>
    <xf numFmtId="177" fontId="21" fillId="0" borderId="4" xfId="0" applyNumberFormat="1" applyFont="1" applyBorder="1" applyAlignment="1">
      <alignment horizontal="right"/>
    </xf>
    <xf numFmtId="177" fontId="20" fillId="0" borderId="5" xfId="0" applyNumberFormat="1" applyFont="1" applyBorder="1"/>
    <xf numFmtId="197" fontId="21" fillId="0" borderId="4" xfId="0" applyNumberFormat="1" applyFont="1" applyBorder="1"/>
    <xf numFmtId="199" fontId="20" fillId="0" borderId="5" xfId="0" applyNumberFormat="1" applyFont="1" applyBorder="1" applyAlignment="1">
      <alignment horizontal="right"/>
    </xf>
    <xf numFmtId="201" fontId="21" fillId="0" borderId="4" xfId="0" applyNumberFormat="1" applyFont="1" applyBorder="1" applyAlignment="1">
      <alignment horizontal="right"/>
    </xf>
    <xf numFmtId="199" fontId="20" fillId="0" borderId="5" xfId="0" applyNumberFormat="1" applyFont="1" applyBorder="1"/>
    <xf numFmtId="199" fontId="20" fillId="0" borderId="15" xfId="0" applyNumberFormat="1" applyFont="1" applyBorder="1"/>
    <xf numFmtId="0" fontId="9" fillId="0" borderId="2" xfId="0" applyFont="1" applyBorder="1" applyAlignment="1">
      <alignment horizontal="left"/>
    </xf>
    <xf numFmtId="0" fontId="20" fillId="0" borderId="21" xfId="0" applyFont="1" applyBorder="1" applyAlignment="1">
      <alignment horizontal="left"/>
    </xf>
    <xf numFmtId="0" fontId="6" fillId="0" borderId="12" xfId="0" applyFont="1" applyBorder="1" applyAlignment="1" applyProtection="1">
      <alignment horizontal="left"/>
      <protection locked="0"/>
    </xf>
    <xf numFmtId="184" fontId="6" fillId="0" borderId="4" xfId="0" applyNumberFormat="1" applyFont="1" applyBorder="1"/>
    <xf numFmtId="184" fontId="6" fillId="0" borderId="5" xfId="0" applyNumberFormat="1" applyFont="1" applyBorder="1"/>
    <xf numFmtId="184" fontId="6" fillId="0" borderId="15" xfId="0" applyNumberFormat="1" applyFont="1" applyBorder="1"/>
    <xf numFmtId="182" fontId="13" fillId="0" borderId="4" xfId="0" applyNumberFormat="1" applyFont="1" applyBorder="1"/>
    <xf numFmtId="182" fontId="13" fillId="0" borderId="5" xfId="0" applyNumberFormat="1" applyFont="1" applyBorder="1"/>
    <xf numFmtId="182" fontId="13" fillId="0" borderId="15" xfId="0" applyNumberFormat="1" applyFont="1" applyBorder="1"/>
    <xf numFmtId="219" fontId="13" fillId="0" borderId="4" xfId="0" applyNumberFormat="1" applyFont="1" applyBorder="1" applyAlignment="1">
      <alignment horizontal="center"/>
    </xf>
    <xf numFmtId="219" fontId="13" fillId="0" borderId="5" xfId="0" applyNumberFormat="1" applyFont="1" applyBorder="1" applyAlignment="1">
      <alignment horizontal="center"/>
    </xf>
    <xf numFmtId="219" fontId="13" fillId="0" borderId="15" xfId="0" applyNumberFormat="1" applyFont="1" applyBorder="1" applyAlignment="1">
      <alignment horizontal="center"/>
    </xf>
    <xf numFmtId="0" fontId="0" fillId="0" borderId="0" xfId="0" applyFont="1" applyBorder="1" applyAlignment="1">
      <alignment horizontal="center"/>
    </xf>
    <xf numFmtId="177" fontId="0" fillId="0" borderId="0" xfId="0" applyNumberFormat="1" applyFont="1" applyBorder="1"/>
    <xf numFmtId="184" fontId="0" fillId="0" borderId="0" xfId="0" applyNumberFormat="1" applyFont="1" applyBorder="1"/>
    <xf numFmtId="182" fontId="0" fillId="0" borderId="0" xfId="0" applyNumberFormat="1" applyFont="1" applyBorder="1"/>
    <xf numFmtId="177" fontId="0" fillId="0" borderId="0" xfId="0" applyNumberFormat="1" applyBorder="1"/>
    <xf numFmtId="184" fontId="0" fillId="0" borderId="0" xfId="0" applyNumberFormat="1" applyBorder="1"/>
    <xf numFmtId="182" fontId="0" fillId="0" borderId="0" xfId="0" applyNumberFormat="1" applyBorder="1"/>
    <xf numFmtId="220" fontId="13" fillId="0" borderId="4" xfId="0" applyNumberFormat="1" applyFont="1" applyBorder="1" applyAlignment="1">
      <alignment horizontal="center"/>
    </xf>
    <xf numFmtId="220" fontId="13" fillId="0" borderId="5" xfId="0" applyNumberFormat="1" applyFont="1" applyBorder="1" applyAlignment="1">
      <alignment horizontal="center"/>
    </xf>
    <xf numFmtId="220" fontId="6" fillId="0" borderId="4" xfId="0" applyNumberFormat="1" applyFont="1" applyBorder="1" applyAlignment="1">
      <alignment horizontal="center"/>
    </xf>
    <xf numFmtId="220" fontId="6" fillId="0" borderId="5" xfId="0" applyNumberFormat="1" applyFont="1" applyBorder="1" applyAlignment="1">
      <alignment horizontal="center"/>
    </xf>
    <xf numFmtId="220" fontId="13" fillId="0" borderId="15" xfId="0" applyNumberFormat="1" applyFont="1" applyBorder="1" applyAlignment="1">
      <alignment horizontal="center"/>
    </xf>
    <xf numFmtId="220" fontId="0" fillId="0" borderId="0" xfId="0" applyNumberFormat="1" applyFont="1" applyAlignment="1">
      <alignment horizontal="center"/>
    </xf>
    <xf numFmtId="220" fontId="6" fillId="0" borderId="15" xfId="0" applyNumberFormat="1" applyFont="1" applyBorder="1" applyAlignment="1">
      <alignment horizontal="center"/>
    </xf>
    <xf numFmtId="220" fontId="13" fillId="0" borderId="4" xfId="0" applyNumberFormat="1" applyFont="1" applyBorder="1"/>
    <xf numFmtId="220" fontId="13" fillId="0" borderId="5" xfId="0" applyNumberFormat="1" applyFont="1" applyBorder="1"/>
    <xf numFmtId="220" fontId="13" fillId="0" borderId="4" xfId="0" applyNumberFormat="1" applyFont="1" applyBorder="1" applyAlignment="1" applyProtection="1">
      <alignment horizontal="center"/>
      <protection locked="0"/>
    </xf>
    <xf numFmtId="220" fontId="13" fillId="0" borderId="5" xfId="0" applyNumberFormat="1" applyFont="1" applyBorder="1" applyAlignment="1" applyProtection="1">
      <alignment horizontal="center"/>
      <protection locked="0"/>
    </xf>
    <xf numFmtId="220" fontId="13" fillId="0" borderId="15" xfId="0" applyNumberFormat="1" applyFont="1" applyBorder="1" applyAlignment="1" applyProtection="1">
      <alignment horizontal="center"/>
      <protection locked="0"/>
    </xf>
    <xf numFmtId="0" fontId="13" fillId="0" borderId="4" xfId="0" applyNumberFormat="1" applyFont="1" applyBorder="1" applyAlignment="1" applyProtection="1">
      <alignment horizontal="center"/>
    </xf>
    <xf numFmtId="220" fontId="13" fillId="0" borderId="4" xfId="0" applyNumberFormat="1" applyFont="1" applyBorder="1" applyAlignment="1" applyProtection="1">
      <alignment horizontal="center"/>
    </xf>
    <xf numFmtId="220" fontId="13" fillId="0" borderId="5" xfId="0" applyNumberFormat="1" applyFont="1" applyBorder="1" applyAlignment="1" applyProtection="1">
      <alignment horizontal="center"/>
    </xf>
    <xf numFmtId="0" fontId="20" fillId="0" borderId="19" xfId="0" applyFont="1" applyBorder="1" applyAlignment="1">
      <alignment horizontal="left"/>
    </xf>
    <xf numFmtId="176" fontId="0" fillId="0" borderId="5" xfId="0" applyNumberFormat="1" applyBorder="1"/>
    <xf numFmtId="177" fontId="0" fillId="0" borderId="19" xfId="0" applyNumberFormat="1" applyBorder="1" applyAlignment="1">
      <alignment horizontal="right"/>
    </xf>
    <xf numFmtId="0" fontId="13" fillId="0" borderId="5" xfId="0" applyNumberFormat="1" applyFont="1" applyBorder="1" applyAlignment="1">
      <alignment horizontal="center"/>
    </xf>
    <xf numFmtId="0" fontId="13" fillId="0" borderId="5" xfId="0" applyNumberFormat="1" applyFont="1" applyBorder="1" applyAlignment="1" applyProtection="1">
      <alignment horizontal="center"/>
      <protection locked="0"/>
    </xf>
    <xf numFmtId="187" fontId="6" fillId="0" borderId="34" xfId="0" applyNumberFormat="1" applyFont="1" applyBorder="1"/>
    <xf numFmtId="181" fontId="20" fillId="0" borderId="15" xfId="0" applyNumberFormat="1" applyFont="1" applyBorder="1"/>
    <xf numFmtId="181" fontId="20" fillId="0" borderId="28" xfId="0" applyNumberFormat="1" applyFont="1" applyBorder="1"/>
    <xf numFmtId="0" fontId="6" fillId="0" borderId="50" xfId="0" applyFont="1" applyBorder="1" applyAlignment="1" applyProtection="1">
      <alignment horizontal="center" vertical="top" textRotation="255"/>
      <protection locked="0"/>
    </xf>
    <xf numFmtId="0" fontId="0" fillId="0" borderId="28" xfId="0" applyBorder="1" applyAlignment="1"/>
    <xf numFmtId="0" fontId="6" fillId="0" borderId="0" xfId="0" applyFont="1"/>
    <xf numFmtId="0" fontId="6" fillId="0" borderId="0" xfId="0" applyFont="1" applyBorder="1" applyProtection="1">
      <protection locked="0"/>
    </xf>
    <xf numFmtId="177" fontId="6" fillId="0" borderId="5" xfId="0" applyNumberFormat="1" applyFont="1" applyBorder="1"/>
    <xf numFmtId="205" fontId="6" fillId="0" borderId="5" xfId="0" applyNumberFormat="1" applyFont="1" applyBorder="1"/>
    <xf numFmtId="0" fontId="6" fillId="0" borderId="5" xfId="0" applyFont="1" applyBorder="1" applyAlignment="1">
      <alignment horizontal="center"/>
    </xf>
    <xf numFmtId="0" fontId="6" fillId="0" borderId="24" xfId="0" applyFont="1" applyBorder="1" applyAlignment="1"/>
    <xf numFmtId="220" fontId="13" fillId="0" borderId="24" xfId="0" applyNumberFormat="1" applyFont="1" applyBorder="1" applyAlignment="1">
      <alignment horizontal="left"/>
    </xf>
    <xf numFmtId="0" fontId="13" fillId="0" borderId="40" xfId="0" quotePrefix="1" applyNumberFormat="1" applyFont="1" applyBorder="1" applyAlignment="1">
      <alignment horizontal="left"/>
    </xf>
    <xf numFmtId="220" fontId="6" fillId="0" borderId="5" xfId="0" quotePrefix="1" applyNumberFormat="1" applyFont="1" applyBorder="1" applyAlignment="1">
      <alignment horizontal="center"/>
    </xf>
    <xf numFmtId="56" fontId="6" fillId="0" borderId="5" xfId="0" applyNumberFormat="1" applyFont="1" applyBorder="1" applyAlignment="1">
      <alignment horizontal="center"/>
    </xf>
    <xf numFmtId="0" fontId="10" fillId="0" borderId="4" xfId="0" applyFont="1" applyBorder="1"/>
    <xf numFmtId="0" fontId="10" fillId="0" borderId="4" xfId="0" applyNumberFormat="1" applyFont="1" applyBorder="1"/>
    <xf numFmtId="2" fontId="10" fillId="0" borderId="0" xfId="0" applyNumberFormat="1" applyFont="1" applyBorder="1"/>
    <xf numFmtId="185" fontId="10" fillId="0" borderId="0" xfId="0" applyNumberFormat="1" applyFont="1" applyBorder="1"/>
    <xf numFmtId="186" fontId="10" fillId="0" borderId="0" xfId="0" applyNumberFormat="1" applyFont="1" applyBorder="1"/>
    <xf numFmtId="2" fontId="10" fillId="0" borderId="44" xfId="0" applyNumberFormat="1" applyFont="1" applyBorder="1"/>
    <xf numFmtId="2" fontId="10" fillId="0" borderId="37" xfId="0" applyNumberFormat="1" applyFont="1" applyBorder="1"/>
    <xf numFmtId="0" fontId="10" fillId="0" borderId="0" xfId="0" applyFont="1" applyBorder="1"/>
    <xf numFmtId="196" fontId="10" fillId="0" borderId="44" xfId="0" applyNumberFormat="1" applyFont="1" applyBorder="1"/>
    <xf numFmtId="0" fontId="10" fillId="0" borderId="37" xfId="0" applyFont="1" applyBorder="1"/>
    <xf numFmtId="196" fontId="10" fillId="0" borderId="44" xfId="0" applyNumberFormat="1" applyFont="1" applyBorder="1" applyAlignment="1">
      <alignment horizontal="right"/>
    </xf>
    <xf numFmtId="187" fontId="10" fillId="0" borderId="0" xfId="0" applyNumberFormat="1" applyFont="1" applyBorder="1"/>
    <xf numFmtId="200" fontId="10" fillId="0" borderId="0" xfId="1" applyNumberFormat="1" applyFont="1" applyBorder="1" applyAlignment="1">
      <alignment horizontal="right"/>
    </xf>
    <xf numFmtId="200" fontId="10" fillId="0" borderId="37" xfId="1" applyNumberFormat="1" applyFont="1" applyBorder="1"/>
    <xf numFmtId="200" fontId="10" fillId="0" borderId="66" xfId="1" applyNumberFormat="1" applyFont="1" applyBorder="1" applyAlignment="1">
      <alignment horizontal="right"/>
    </xf>
    <xf numFmtId="200" fontId="10" fillId="0" borderId="2" xfId="1" applyNumberFormat="1" applyFont="1" applyBorder="1" applyAlignment="1">
      <alignment horizontal="right"/>
    </xf>
    <xf numFmtId="200" fontId="10" fillId="0" borderId="33" xfId="1" applyNumberFormat="1" applyFont="1" applyBorder="1" applyAlignment="1">
      <alignment horizontal="right"/>
    </xf>
    <xf numFmtId="200" fontId="10" fillId="0" borderId="0" xfId="0" applyNumberFormat="1" applyFont="1" applyBorder="1" applyAlignment="1">
      <alignment horizontal="right"/>
    </xf>
    <xf numFmtId="200" fontId="10" fillId="0" borderId="37" xfId="0" applyNumberFormat="1" applyFont="1" applyBorder="1"/>
    <xf numFmtId="200" fontId="10" fillId="0" borderId="66" xfId="0" applyNumberFormat="1" applyFont="1" applyBorder="1" applyAlignment="1">
      <alignment horizontal="right"/>
    </xf>
    <xf numFmtId="200" fontId="10" fillId="0" borderId="2" xfId="0" applyNumberFormat="1" applyFont="1" applyBorder="1" applyAlignment="1">
      <alignment horizontal="right"/>
    </xf>
    <xf numFmtId="200" fontId="10" fillId="0" borderId="33" xfId="0" applyNumberFormat="1" applyFont="1" applyBorder="1" applyAlignment="1">
      <alignment horizontal="right"/>
    </xf>
    <xf numFmtId="0" fontId="0" fillId="0" borderId="24" xfId="0" applyNumberFormat="1" applyBorder="1" applyAlignment="1">
      <alignment horizontal="centerContinuous"/>
    </xf>
    <xf numFmtId="0" fontId="6" fillId="0" borderId="40" xfId="0" applyNumberFormat="1" applyFont="1" applyBorder="1" applyAlignment="1">
      <alignment horizontal="centerContinuous"/>
    </xf>
    <xf numFmtId="0" fontId="0" fillId="0" borderId="40" xfId="0" applyNumberFormat="1" applyBorder="1" applyAlignment="1">
      <alignment horizontal="centerContinuous"/>
    </xf>
    <xf numFmtId="0" fontId="1" fillId="0" borderId="40" xfId="0" applyNumberFormat="1" applyFont="1" applyBorder="1" applyAlignment="1">
      <alignment horizontal="centerContinuous"/>
    </xf>
    <xf numFmtId="0" fontId="0" fillId="0" borderId="28" xfId="0" applyNumberFormat="1" applyBorder="1" applyAlignment="1">
      <alignment horizontal="centerContinuous"/>
    </xf>
    <xf numFmtId="221" fontId="6" fillId="0" borderId="40" xfId="2" applyNumberFormat="1" applyFont="1" applyBorder="1" applyAlignment="1">
      <alignment horizontal="right"/>
    </xf>
    <xf numFmtId="221" fontId="6" fillId="0" borderId="24" xfId="2" applyNumberFormat="1" applyFont="1" applyBorder="1" applyAlignment="1">
      <alignment horizontal="right"/>
    </xf>
    <xf numFmtId="196" fontId="0" fillId="0" borderId="44" xfId="0" applyNumberFormat="1" applyBorder="1"/>
    <xf numFmtId="2" fontId="0" fillId="0" borderId="0" xfId="0" applyNumberFormat="1" applyBorder="1"/>
    <xf numFmtId="185" fontId="0" fillId="0" borderId="0" xfId="0" applyNumberFormat="1" applyBorder="1"/>
    <xf numFmtId="200" fontId="10" fillId="0" borderId="67" xfId="1" applyNumberFormat="1" applyFont="1" applyBorder="1" applyAlignment="1">
      <alignment horizontal="right"/>
    </xf>
    <xf numFmtId="200" fontId="10" fillId="0" borderId="67" xfId="0" applyNumberFormat="1" applyFont="1" applyBorder="1" applyAlignment="1">
      <alignment horizontal="right"/>
    </xf>
    <xf numFmtId="177" fontId="6" fillId="0" borderId="5" xfId="0" quotePrefix="1" applyNumberFormat="1" applyFont="1" applyBorder="1" applyAlignment="1"/>
    <xf numFmtId="177" fontId="6" fillId="0" borderId="15" xfId="0" quotePrefix="1" applyNumberFormat="1" applyFont="1" applyBorder="1" applyAlignment="1"/>
    <xf numFmtId="0" fontId="22" fillId="0" borderId="0" xfId="0" applyFont="1" applyAlignment="1">
      <alignment horizontal="centerContinuous"/>
    </xf>
    <xf numFmtId="0" fontId="22" fillId="0" borderId="12" xfId="0" applyFont="1" applyBorder="1" applyAlignment="1">
      <alignment horizontal="centerContinuous" vertical="top"/>
    </xf>
    <xf numFmtId="189" fontId="23" fillId="0" borderId="0" xfId="0" applyNumberFormat="1" applyFont="1" applyBorder="1" applyAlignment="1"/>
    <xf numFmtId="211" fontId="24" fillId="0" borderId="0" xfId="0" applyNumberFormat="1" applyFont="1" applyBorder="1" applyAlignment="1">
      <alignment horizontal="right" vertical="top"/>
    </xf>
    <xf numFmtId="195" fontId="23" fillId="0" borderId="0" xfId="0" applyNumberFormat="1" applyFont="1" applyBorder="1" applyAlignment="1"/>
    <xf numFmtId="177" fontId="23" fillId="0" borderId="0" xfId="0" applyNumberFormat="1" applyFont="1" applyBorder="1" applyAlignment="1"/>
    <xf numFmtId="0" fontId="25" fillId="0" borderId="11" xfId="0" applyFont="1" applyBorder="1" applyAlignment="1" applyProtection="1"/>
    <xf numFmtId="0" fontId="6" fillId="0" borderId="50" xfId="0" applyFont="1" applyBorder="1" applyAlignment="1" applyProtection="1">
      <alignment horizontal="center" vertical="center" textRotation="255"/>
      <protection locked="0"/>
    </xf>
    <xf numFmtId="0" fontId="1" fillId="0" borderId="0" xfId="0" applyFont="1"/>
    <xf numFmtId="0" fontId="0" fillId="0" borderId="24" xfId="0" applyBorder="1" applyAlignment="1">
      <alignment horizontal="right"/>
    </xf>
    <xf numFmtId="0" fontId="6" fillId="0" borderId="40" xfId="0" applyFont="1" applyBorder="1" applyAlignment="1"/>
    <xf numFmtId="207" fontId="0" fillId="0" borderId="0" xfId="0" applyNumberFormat="1"/>
    <xf numFmtId="208" fontId="0" fillId="0" borderId="0" xfId="0" applyNumberFormat="1" applyAlignment="1">
      <alignment horizontal="left"/>
    </xf>
    <xf numFmtId="0" fontId="15" fillId="0" borderId="0" xfId="0" applyFont="1" applyBorder="1" applyAlignment="1">
      <alignment horizontal="left"/>
    </xf>
    <xf numFmtId="0" fontId="6" fillId="0" borderId="4" xfId="0" applyFont="1" applyBorder="1" applyAlignment="1">
      <alignment horizontal="center"/>
    </xf>
    <xf numFmtId="184" fontId="13" fillId="0" borderId="5" xfId="0" applyNumberFormat="1" applyFont="1" applyFill="1" applyBorder="1"/>
    <xf numFmtId="177" fontId="6" fillId="0" borderId="5" xfId="0" applyNumberFormat="1" applyFont="1" applyBorder="1" applyAlignment="1">
      <alignment horizontal="center"/>
    </xf>
    <xf numFmtId="0" fontId="6" fillId="0" borderId="40" xfId="0" applyFont="1" applyBorder="1"/>
    <xf numFmtId="0" fontId="6" fillId="0" borderId="24" xfId="0" applyFont="1" applyBorder="1"/>
    <xf numFmtId="190" fontId="6" fillId="0" borderId="5" xfId="0" applyNumberFormat="1" applyFont="1" applyBorder="1" applyAlignment="1" applyProtection="1">
      <alignment horizontal="left"/>
      <protection locked="0"/>
    </xf>
    <xf numFmtId="190" fontId="6" fillId="0" borderId="15" xfId="0" applyNumberFormat="1" applyFont="1" applyBorder="1" applyAlignment="1" applyProtection="1">
      <alignment horizontal="left"/>
      <protection locked="0"/>
    </xf>
    <xf numFmtId="38" fontId="9" fillId="0" borderId="0" xfId="2" applyFont="1" applyBorder="1" applyAlignment="1"/>
    <xf numFmtId="184" fontId="13" fillId="0" borderId="5" xfId="0" applyNumberFormat="1" applyFont="1" applyFill="1" applyBorder="1" applyProtection="1">
      <protection locked="0"/>
    </xf>
    <xf numFmtId="0" fontId="0" fillId="0" borderId="1" xfId="0" applyBorder="1" applyAlignment="1"/>
    <xf numFmtId="0" fontId="0" fillId="0" borderId="2" xfId="0" applyBorder="1" applyAlignment="1"/>
    <xf numFmtId="0" fontId="9" fillId="0" borderId="1" xfId="0" applyFont="1" applyBorder="1" applyAlignment="1">
      <alignment vertical="center"/>
    </xf>
    <xf numFmtId="0" fontId="9" fillId="0" borderId="0" xfId="0" applyFont="1" applyBorder="1" applyAlignment="1">
      <alignment horizontal="center"/>
    </xf>
    <xf numFmtId="194" fontId="9" fillId="0" borderId="0" xfId="0" applyNumberFormat="1" applyFont="1" applyAlignment="1"/>
    <xf numFmtId="0" fontId="6" fillId="0" borderId="0" xfId="0" applyFont="1" applyAlignment="1">
      <alignment horizontal="right"/>
    </xf>
    <xf numFmtId="0" fontId="26" fillId="0" borderId="0" xfId="0" applyFont="1" applyAlignment="1">
      <alignment horizontal="centerContinuous"/>
    </xf>
    <xf numFmtId="0" fontId="26" fillId="0" borderId="12" xfId="0" applyFont="1" applyBorder="1" applyAlignment="1">
      <alignment horizontal="centerContinuous" vertical="top"/>
    </xf>
    <xf numFmtId="0" fontId="1" fillId="0" borderId="0" xfId="0" applyFont="1" applyAlignment="1">
      <alignment horizontal="right"/>
    </xf>
    <xf numFmtId="190" fontId="6" fillId="0" borderId="5" xfId="0" applyNumberFormat="1" applyFont="1" applyBorder="1" applyAlignment="1" applyProtection="1">
      <protection locked="0"/>
    </xf>
    <xf numFmtId="0" fontId="6" fillId="0" borderId="4" xfId="0" applyFont="1" applyBorder="1" applyAlignment="1" applyProtection="1">
      <protection locked="0"/>
    </xf>
    <xf numFmtId="0" fontId="10" fillId="0" borderId="5" xfId="0" applyFont="1" applyBorder="1" applyProtection="1">
      <protection locked="0"/>
    </xf>
    <xf numFmtId="219" fontId="13" fillId="0" borderId="5" xfId="0" applyNumberFormat="1" applyFont="1" applyFill="1" applyBorder="1" applyAlignment="1">
      <alignment horizontal="center"/>
    </xf>
    <xf numFmtId="0" fontId="10" fillId="0" borderId="4" xfId="0" applyFont="1" applyBorder="1" applyProtection="1">
      <protection locked="0"/>
    </xf>
    <xf numFmtId="220" fontId="10" fillId="0" borderId="5" xfId="0" applyNumberFormat="1" applyFont="1" applyFill="1" applyBorder="1" applyAlignment="1">
      <alignment horizontal="center"/>
    </xf>
    <xf numFmtId="177" fontId="6" fillId="0" borderId="5" xfId="0" applyNumberFormat="1" applyFont="1" applyBorder="1" applyAlignment="1"/>
    <xf numFmtId="0" fontId="9" fillId="0" borderId="2" xfId="0" applyFont="1" applyBorder="1" applyAlignment="1">
      <alignment horizontal="distributed" vertical="center" wrapText="1" justifyLastLine="1"/>
    </xf>
    <xf numFmtId="222" fontId="6" fillId="0" borderId="40" xfId="0" applyNumberFormat="1" applyFont="1" applyBorder="1" applyAlignment="1">
      <alignment horizontal="left"/>
    </xf>
    <xf numFmtId="190" fontId="27" fillId="0" borderId="4" xfId="0" applyNumberFormat="1" applyFont="1" applyBorder="1" applyAlignment="1">
      <alignment horizontal="center"/>
    </xf>
    <xf numFmtId="0" fontId="9" fillId="0" borderId="2" xfId="0" applyFont="1" applyBorder="1" applyAlignment="1">
      <alignment vertical="center" wrapText="1" justifyLastLine="1"/>
    </xf>
    <xf numFmtId="38" fontId="16" fillId="0" borderId="0" xfId="2" applyFont="1" applyBorder="1" applyAlignment="1"/>
    <xf numFmtId="0" fontId="9" fillId="0" borderId="0" xfId="0" applyFont="1" applyBorder="1" applyAlignment="1">
      <alignment horizontal="distributed" justifyLastLine="1"/>
    </xf>
    <xf numFmtId="0" fontId="16" fillId="0" borderId="0" xfId="0" applyFont="1" applyBorder="1" applyAlignment="1">
      <alignment horizontal="right"/>
    </xf>
    <xf numFmtId="184" fontId="10" fillId="0" borderId="5" xfId="0" applyNumberFormat="1" applyFont="1" applyFill="1" applyBorder="1"/>
    <xf numFmtId="0" fontId="0" fillId="0" borderId="24" xfId="0" applyNumberFormat="1" applyBorder="1" applyAlignment="1"/>
    <xf numFmtId="0" fontId="0" fillId="0" borderId="40" xfId="0" applyNumberFormat="1" applyBorder="1" applyAlignment="1"/>
    <xf numFmtId="190" fontId="29" fillId="0" borderId="4" xfId="0" applyNumberFormat="1" applyFont="1" applyBorder="1" applyAlignment="1" applyProtection="1">
      <alignment horizontal="center"/>
      <protection locked="0"/>
    </xf>
    <xf numFmtId="0" fontId="29" fillId="0" borderId="4" xfId="0" applyFont="1" applyBorder="1" applyProtection="1">
      <protection locked="0"/>
    </xf>
    <xf numFmtId="190" fontId="29" fillId="0" borderId="5" xfId="0" applyNumberFormat="1" applyFont="1" applyBorder="1" applyAlignment="1" applyProtection="1">
      <alignment horizontal="center"/>
      <protection locked="0"/>
    </xf>
    <xf numFmtId="0" fontId="29" fillId="0" borderId="5" xfId="0" applyFont="1" applyBorder="1" applyProtection="1">
      <protection locked="0"/>
    </xf>
    <xf numFmtId="190" fontId="30" fillId="0" borderId="5" xfId="0" applyNumberFormat="1" applyFont="1" applyBorder="1" applyAlignment="1" applyProtection="1">
      <alignment horizontal="center"/>
      <protection locked="0"/>
    </xf>
    <xf numFmtId="184" fontId="29" fillId="0" borderId="5" xfId="0" applyNumberFormat="1" applyFont="1" applyFill="1" applyBorder="1"/>
    <xf numFmtId="219" fontId="29" fillId="0" borderId="5" xfId="0" applyNumberFormat="1" applyFont="1" applyFill="1" applyBorder="1" applyAlignment="1">
      <alignment horizontal="center"/>
    </xf>
    <xf numFmtId="184" fontId="29" fillId="0" borderId="4" xfId="0" applyNumberFormat="1" applyFont="1" applyBorder="1"/>
    <xf numFmtId="184" fontId="29" fillId="0" borderId="5" xfId="0" applyNumberFormat="1" applyFont="1" applyBorder="1"/>
    <xf numFmtId="219" fontId="29" fillId="0" borderId="4" xfId="0" applyNumberFormat="1" applyFont="1" applyBorder="1" applyAlignment="1">
      <alignment horizontal="center"/>
    </xf>
    <xf numFmtId="219" fontId="29" fillId="0" borderId="5" xfId="0" applyNumberFormat="1" applyFont="1" applyBorder="1" applyAlignment="1">
      <alignment horizontal="center"/>
    </xf>
    <xf numFmtId="219" fontId="13" fillId="0" borderId="5" xfId="0" quotePrefix="1" applyNumberFormat="1" applyFont="1" applyBorder="1" applyAlignment="1">
      <alignment horizontal="center"/>
    </xf>
    <xf numFmtId="219" fontId="29" fillId="0" borderId="5" xfId="0" quotePrefix="1" applyNumberFormat="1" applyFont="1" applyFill="1" applyBorder="1" applyAlignment="1">
      <alignment horizontal="center"/>
    </xf>
    <xf numFmtId="219" fontId="30" fillId="0" borderId="5" xfId="0" applyNumberFormat="1" applyFont="1" applyBorder="1" applyAlignment="1">
      <alignment horizontal="center"/>
    </xf>
    <xf numFmtId="184" fontId="30" fillId="0" borderId="5" xfId="0" applyNumberFormat="1" applyFont="1" applyBorder="1"/>
    <xf numFmtId="184" fontId="29" fillId="0" borderId="15" xfId="0" applyNumberFormat="1" applyFont="1" applyBorder="1"/>
    <xf numFmtId="220" fontId="29" fillId="0" borderId="4" xfId="0" applyNumberFormat="1" applyFont="1" applyBorder="1" applyAlignment="1">
      <alignment horizontal="center"/>
    </xf>
    <xf numFmtId="220" fontId="29" fillId="0" borderId="5" xfId="0" applyNumberFormat="1" applyFont="1" applyBorder="1" applyAlignment="1">
      <alignment horizontal="center"/>
    </xf>
    <xf numFmtId="220" fontId="29" fillId="0" borderId="5" xfId="0" applyNumberFormat="1" applyFont="1" applyFill="1" applyBorder="1" applyAlignment="1">
      <alignment horizontal="center"/>
    </xf>
    <xf numFmtId="177" fontId="29" fillId="0" borderId="5" xfId="0" applyNumberFormat="1" applyFont="1" applyBorder="1" applyAlignment="1">
      <alignment horizontal="center"/>
    </xf>
    <xf numFmtId="177" fontId="29" fillId="0" borderId="5" xfId="0" quotePrefix="1" applyNumberFormat="1" applyFont="1" applyBorder="1" applyAlignment="1"/>
    <xf numFmtId="177" fontId="29" fillId="0" borderId="5" xfId="0" applyNumberFormat="1" applyFont="1" applyBorder="1" applyAlignment="1"/>
    <xf numFmtId="177" fontId="29" fillId="0" borderId="15" xfId="0" applyNumberFormat="1" applyFont="1" applyBorder="1" applyAlignment="1">
      <alignment horizontal="center"/>
    </xf>
    <xf numFmtId="220" fontId="30" fillId="0" borderId="5" xfId="0" applyNumberFormat="1" applyFont="1" applyBorder="1" applyAlignment="1">
      <alignment horizontal="center"/>
    </xf>
    <xf numFmtId="0" fontId="29" fillId="0" borderId="0" xfId="0" applyFont="1"/>
    <xf numFmtId="190" fontId="6" fillId="0" borderId="0" xfId="0" applyNumberFormat="1" applyFont="1" applyBorder="1" applyAlignment="1" applyProtection="1">
      <alignment horizontal="center"/>
      <protection locked="0"/>
    </xf>
    <xf numFmtId="210" fontId="10" fillId="0" borderId="0" xfId="0" applyNumberFormat="1" applyFont="1" applyBorder="1" applyAlignment="1" applyProtection="1">
      <alignment horizontal="right"/>
    </xf>
    <xf numFmtId="0" fontId="6" fillId="0" borderId="0" xfId="0" applyFont="1" applyBorder="1" applyAlignment="1" applyProtection="1">
      <alignment horizontal="center"/>
      <protection locked="0"/>
    </xf>
    <xf numFmtId="190" fontId="0" fillId="0" borderId="0" xfId="0" applyNumberFormat="1" applyBorder="1" applyAlignment="1">
      <alignment horizontal="center"/>
    </xf>
    <xf numFmtId="210" fontId="10" fillId="0" borderId="0" xfId="0" applyNumberFormat="1" applyFont="1" applyBorder="1" applyAlignment="1">
      <alignment horizontal="right"/>
    </xf>
    <xf numFmtId="212" fontId="0" fillId="0" borderId="0" xfId="0" applyNumberFormat="1" applyBorder="1" applyAlignment="1">
      <alignment horizontal="center"/>
    </xf>
    <xf numFmtId="184" fontId="13" fillId="0" borderId="0" xfId="0" applyNumberFormat="1" applyFont="1" applyBorder="1" applyProtection="1">
      <protection locked="0"/>
    </xf>
    <xf numFmtId="191" fontId="10" fillId="0" borderId="0" xfId="0" applyNumberFormat="1" applyFont="1" applyBorder="1" applyAlignment="1">
      <alignment horizontal="right"/>
    </xf>
    <xf numFmtId="220" fontId="13" fillId="0" borderId="0" xfId="0" applyNumberFormat="1" applyFont="1" applyBorder="1" applyAlignment="1" applyProtection="1">
      <alignment horizontal="center"/>
      <protection locked="0"/>
    </xf>
    <xf numFmtId="209" fontId="0" fillId="0" borderId="0" xfId="0" applyNumberFormat="1" applyFont="1" applyBorder="1" applyAlignment="1" applyProtection="1">
      <alignment horizontal="right"/>
    </xf>
    <xf numFmtId="209" fontId="0" fillId="0" borderId="0" xfId="0" applyNumberFormat="1" applyBorder="1" applyAlignment="1">
      <alignment horizontal="right"/>
    </xf>
    <xf numFmtId="192" fontId="0" fillId="0" borderId="0" xfId="0" applyNumberFormat="1" applyBorder="1" applyAlignment="1">
      <alignment horizontal="right"/>
    </xf>
    <xf numFmtId="220" fontId="13" fillId="0" borderId="5" xfId="0" applyNumberFormat="1" applyFont="1" applyFill="1" applyBorder="1" applyAlignment="1">
      <alignment horizontal="center"/>
    </xf>
    <xf numFmtId="184" fontId="30" fillId="0" borderId="5" xfId="0" applyNumberFormat="1" applyFont="1" applyFill="1" applyBorder="1"/>
    <xf numFmtId="177" fontId="30" fillId="0" borderId="5" xfId="0" applyNumberFormat="1" applyFont="1" applyFill="1" applyBorder="1" applyAlignment="1">
      <alignment horizontal="center"/>
    </xf>
    <xf numFmtId="177" fontId="30" fillId="0" borderId="5" xfId="0" applyNumberFormat="1" applyFont="1" applyBorder="1" applyAlignment="1">
      <alignment horizontal="center"/>
    </xf>
    <xf numFmtId="177" fontId="30" fillId="0" borderId="4" xfId="0" applyNumberFormat="1" applyFont="1" applyBorder="1" applyAlignment="1">
      <alignment horizontal="center"/>
    </xf>
    <xf numFmtId="0" fontId="30" fillId="0" borderId="40" xfId="0" applyFont="1" applyBorder="1"/>
    <xf numFmtId="0" fontId="24" fillId="0" borderId="0" xfId="0" applyFont="1" applyAlignment="1">
      <alignment horizontal="centerContinuous"/>
    </xf>
    <xf numFmtId="0" fontId="1" fillId="0" borderId="0" xfId="0" applyFont="1" applyAlignment="1">
      <alignment horizontal="centerContinuous"/>
    </xf>
    <xf numFmtId="177" fontId="21" fillId="0" borderId="20" xfId="0" quotePrefix="1" applyNumberFormat="1" applyFont="1" applyBorder="1" applyAlignment="1">
      <alignment horizontal="right"/>
    </xf>
    <xf numFmtId="0" fontId="20" fillId="0" borderId="18" xfId="0" applyFont="1" applyBorder="1" applyAlignment="1">
      <alignment horizontal="centerContinuous"/>
    </xf>
    <xf numFmtId="177" fontId="20" fillId="0" borderId="21" xfId="0" applyNumberFormat="1" applyFont="1" applyBorder="1"/>
    <xf numFmtId="177" fontId="20" fillId="0" borderId="32" xfId="0" applyNumberFormat="1" applyFont="1" applyBorder="1"/>
    <xf numFmtId="0" fontId="20" fillId="0" borderId="16" xfId="0" applyFont="1" applyBorder="1" applyAlignment="1">
      <alignment horizontal="centerContinuous"/>
    </xf>
    <xf numFmtId="177" fontId="20" fillId="0" borderId="19" xfId="0" applyNumberFormat="1" applyFont="1" applyBorder="1"/>
    <xf numFmtId="177" fontId="20" fillId="0" borderId="26" xfId="0" applyNumberFormat="1" applyFont="1" applyBorder="1"/>
    <xf numFmtId="177" fontId="21" fillId="0" borderId="4" xfId="0" applyNumberFormat="1" applyFont="1" applyBorder="1"/>
    <xf numFmtId="177" fontId="21" fillId="0" borderId="24" xfId="0" applyNumberFormat="1" applyFont="1" applyBorder="1" applyAlignment="1">
      <alignment horizontal="right"/>
    </xf>
    <xf numFmtId="177" fontId="20" fillId="0" borderId="56" xfId="0" applyNumberFormat="1" applyFont="1" applyBorder="1"/>
    <xf numFmtId="213" fontId="20" fillId="0" borderId="56" xfId="0" applyNumberFormat="1" applyFont="1" applyBorder="1" applyAlignment="1">
      <alignment horizontal="right"/>
    </xf>
    <xf numFmtId="176" fontId="20" fillId="0" borderId="56" xfId="0" applyNumberFormat="1" applyFont="1" applyBorder="1"/>
    <xf numFmtId="186" fontId="0" fillId="0" borderId="0" xfId="0" applyNumberFormat="1" applyBorder="1"/>
    <xf numFmtId="2" fontId="0" fillId="0" borderId="37" xfId="0" applyNumberFormat="1" applyBorder="1"/>
    <xf numFmtId="196" fontId="0" fillId="0" borderId="44" xfId="0" applyNumberFormat="1" applyBorder="1" applyAlignment="1">
      <alignment horizontal="right"/>
    </xf>
    <xf numFmtId="0" fontId="10" fillId="0" borderId="5" xfId="0" applyFont="1" applyBorder="1"/>
    <xf numFmtId="176" fontId="20" fillId="0" borderId="19" xfId="0" applyNumberFormat="1" applyFont="1" applyBorder="1"/>
    <xf numFmtId="177" fontId="21" fillId="0" borderId="4" xfId="0" quotePrefix="1" applyNumberFormat="1" applyFont="1" applyBorder="1" applyAlignment="1">
      <alignment horizontal="right"/>
    </xf>
    <xf numFmtId="0" fontId="0" fillId="0" borderId="69" xfId="0" applyBorder="1" applyAlignment="1">
      <alignment horizontal="center"/>
    </xf>
    <xf numFmtId="176" fontId="20" fillId="0" borderId="70" xfId="0" applyNumberFormat="1" applyFont="1" applyBorder="1"/>
    <xf numFmtId="38" fontId="20" fillId="0" borderId="71" xfId="2" applyFont="1" applyBorder="1"/>
    <xf numFmtId="176" fontId="20" fillId="0" borderId="71" xfId="0" applyNumberFormat="1" applyFont="1" applyBorder="1"/>
    <xf numFmtId="0" fontId="20" fillId="0" borderId="71" xfId="0" applyFont="1" applyBorder="1"/>
    <xf numFmtId="176" fontId="20" fillId="0" borderId="72" xfId="0" applyNumberFormat="1" applyFont="1" applyBorder="1"/>
    <xf numFmtId="176" fontId="20" fillId="0" borderId="56" xfId="0" applyNumberFormat="1" applyFont="1" applyBorder="1" applyAlignment="1">
      <alignment horizontal="right"/>
    </xf>
    <xf numFmtId="196" fontId="10" fillId="0" borderId="0" xfId="0" applyNumberFormat="1" applyFont="1" applyBorder="1"/>
    <xf numFmtId="196" fontId="10" fillId="0" borderId="37" xfId="0" applyNumberFormat="1" applyFont="1" applyBorder="1"/>
    <xf numFmtId="176" fontId="0" fillId="0" borderId="0" xfId="0" applyNumberFormat="1"/>
    <xf numFmtId="223" fontId="0" fillId="0" borderId="0" xfId="0" applyNumberFormat="1" applyBorder="1"/>
    <xf numFmtId="196" fontId="0" fillId="0" borderId="0" xfId="0" applyNumberFormat="1" applyBorder="1"/>
    <xf numFmtId="196" fontId="0" fillId="0" borderId="37" xfId="0" applyNumberFormat="1" applyBorder="1"/>
    <xf numFmtId="0" fontId="20" fillId="0" borderId="73" xfId="0" applyFont="1" applyBorder="1"/>
    <xf numFmtId="0" fontId="20" fillId="0" borderId="74" xfId="0" applyFont="1" applyBorder="1"/>
    <xf numFmtId="223" fontId="0" fillId="0" borderId="2" xfId="0" applyNumberFormat="1" applyBorder="1"/>
    <xf numFmtId="196" fontId="0" fillId="0" borderId="2" xfId="0" applyNumberFormat="1" applyBorder="1"/>
    <xf numFmtId="196" fontId="0" fillId="0" borderId="33" xfId="0" applyNumberFormat="1" applyBorder="1"/>
    <xf numFmtId="38" fontId="20" fillId="0" borderId="75" xfId="2" applyFont="1" applyBorder="1"/>
    <xf numFmtId="0" fontId="20" fillId="0" borderId="75" xfId="0" applyFont="1" applyBorder="1"/>
    <xf numFmtId="38" fontId="20" fillId="0" borderId="60" xfId="2" applyFont="1" applyBorder="1"/>
    <xf numFmtId="200" fontId="0" fillId="0" borderId="0" xfId="1" applyNumberFormat="1" applyFont="1" applyBorder="1"/>
    <xf numFmtId="200" fontId="0" fillId="0" borderId="0" xfId="1" applyNumberFormat="1" applyFont="1" applyBorder="1" applyAlignment="1">
      <alignment horizontal="right"/>
    </xf>
    <xf numFmtId="200" fontId="0" fillId="0" borderId="37" xfId="1" applyNumberFormat="1" applyFont="1" applyBorder="1"/>
    <xf numFmtId="200" fontId="0" fillId="0" borderId="2" xfId="1" applyNumberFormat="1" applyFont="1" applyBorder="1" applyAlignment="1">
      <alignment horizontal="right"/>
    </xf>
    <xf numFmtId="200" fontId="0" fillId="0" borderId="33" xfId="1" applyNumberFormat="1" applyFont="1" applyBorder="1" applyAlignment="1">
      <alignment horizontal="right"/>
    </xf>
    <xf numFmtId="203" fontId="10" fillId="0" borderId="76" xfId="0" quotePrefix="1" applyNumberFormat="1" applyFont="1" applyBorder="1" applyAlignment="1">
      <alignment horizontal="right"/>
    </xf>
    <xf numFmtId="200" fontId="0" fillId="0" borderId="0" xfId="0" applyNumberFormat="1" applyBorder="1"/>
    <xf numFmtId="200" fontId="0" fillId="0" borderId="0" xfId="0" applyNumberFormat="1" applyBorder="1" applyAlignment="1">
      <alignment horizontal="right"/>
    </xf>
    <xf numFmtId="200" fontId="0" fillId="0" borderId="37" xfId="0" applyNumberFormat="1" applyBorder="1"/>
    <xf numFmtId="177" fontId="20" fillId="0" borderId="4" xfId="0" applyNumberFormat="1" applyFont="1" applyBorder="1"/>
    <xf numFmtId="199" fontId="0" fillId="0" borderId="4" xfId="0" applyNumberFormat="1" applyBorder="1"/>
    <xf numFmtId="199" fontId="20" fillId="0" borderId="4" xfId="0" applyNumberFormat="1" applyFont="1" applyBorder="1"/>
    <xf numFmtId="0" fontId="0" fillId="0" borderId="11" xfId="0" applyBorder="1" applyAlignment="1">
      <alignment horizontal="left"/>
    </xf>
    <xf numFmtId="200" fontId="0" fillId="0" borderId="2" xfId="0" applyNumberFormat="1" applyBorder="1" applyAlignment="1">
      <alignment horizontal="right"/>
    </xf>
    <xf numFmtId="200" fontId="0" fillId="0" borderId="33" xfId="0" applyNumberFormat="1" applyBorder="1" applyAlignment="1">
      <alignment horizontal="right"/>
    </xf>
    <xf numFmtId="186" fontId="0" fillId="0" borderId="18" xfId="0" applyNumberFormat="1" applyBorder="1"/>
    <xf numFmtId="38" fontId="0" fillId="0" borderId="5" xfId="0" applyNumberFormat="1" applyBorder="1"/>
    <xf numFmtId="177" fontId="0" fillId="0" borderId="0" xfId="0" applyNumberFormat="1" applyBorder="1" applyAlignment="1">
      <alignment horizontal="right"/>
    </xf>
    <xf numFmtId="177" fontId="20" fillId="0" borderId="0" xfId="0" applyNumberFormat="1" applyFont="1" applyBorder="1" applyAlignment="1">
      <alignment horizontal="right"/>
    </xf>
    <xf numFmtId="177" fontId="20" fillId="0" borderId="0" xfId="0" applyNumberFormat="1" applyFont="1" applyBorder="1"/>
    <xf numFmtId="177" fontId="10" fillId="0" borderId="0" xfId="0" applyNumberFormat="1" applyFont="1" applyBorder="1" applyAlignment="1">
      <alignment horizontal="right"/>
    </xf>
    <xf numFmtId="0" fontId="30" fillId="0" borderId="0" xfId="0" applyFont="1"/>
    <xf numFmtId="0" fontId="30" fillId="0" borderId="7" xfId="0" applyFont="1" applyBorder="1" applyAlignment="1">
      <alignment horizontal="right"/>
    </xf>
    <xf numFmtId="0" fontId="30" fillId="0" borderId="2" xfId="0" applyFont="1" applyBorder="1" applyAlignment="1">
      <alignment horizontal="right"/>
    </xf>
    <xf numFmtId="224" fontId="10" fillId="0" borderId="0" xfId="0" applyNumberFormat="1" applyFont="1" applyBorder="1"/>
    <xf numFmtId="0" fontId="30" fillId="0" borderId="6" xfId="0" applyFont="1" applyBorder="1"/>
    <xf numFmtId="0" fontId="30" fillId="0" borderId="5" xfId="0" applyFont="1" applyBorder="1"/>
    <xf numFmtId="185" fontId="6" fillId="0" borderId="34" xfId="0" applyNumberFormat="1" applyFont="1" applyBorder="1"/>
    <xf numFmtId="0" fontId="30" fillId="0" borderId="5" xfId="0" applyFont="1" applyBorder="1" applyAlignment="1">
      <alignment horizontal="center"/>
    </xf>
    <xf numFmtId="0" fontId="20" fillId="0" borderId="30" xfId="0" applyFont="1" applyBorder="1"/>
    <xf numFmtId="38" fontId="20" fillId="0" borderId="30" xfId="2" applyFont="1" applyBorder="1"/>
    <xf numFmtId="38" fontId="20" fillId="0" borderId="24" xfId="2" applyFont="1" applyBorder="1"/>
    <xf numFmtId="38" fontId="20" fillId="0" borderId="28" xfId="2" applyFont="1" applyBorder="1"/>
    <xf numFmtId="38" fontId="20" fillId="0" borderId="78" xfId="2" applyFont="1" applyBorder="1"/>
    <xf numFmtId="38" fontId="20" fillId="0" borderId="72" xfId="2" applyFont="1" applyBorder="1"/>
    <xf numFmtId="179" fontId="0" fillId="0" borderId="4" xfId="0" applyNumberFormat="1" applyBorder="1"/>
    <xf numFmtId="2" fontId="29" fillId="0" borderId="34" xfId="0" applyNumberFormat="1" applyFont="1" applyBorder="1"/>
    <xf numFmtId="213" fontId="31" fillId="0" borderId="20" xfId="0" applyNumberFormat="1" applyFont="1" applyBorder="1" applyAlignment="1">
      <alignment horizontal="right"/>
    </xf>
    <xf numFmtId="201" fontId="10" fillId="0" borderId="79" xfId="0" applyNumberFormat="1" applyFont="1" applyBorder="1" applyAlignment="1">
      <alignment horizontal="left"/>
    </xf>
    <xf numFmtId="177" fontId="20" fillId="0" borderId="5" xfId="0" applyNumberFormat="1" applyFont="1" applyFill="1" applyBorder="1"/>
    <xf numFmtId="177" fontId="20" fillId="0" borderId="15" xfId="0" applyNumberFormat="1" applyFont="1" applyFill="1" applyBorder="1"/>
    <xf numFmtId="176" fontId="20" fillId="0" borderId="15" xfId="0" applyNumberFormat="1" applyFont="1" applyFill="1" applyBorder="1"/>
    <xf numFmtId="176" fontId="20" fillId="0" borderId="60" xfId="0" applyNumberFormat="1" applyFont="1" applyFill="1" applyBorder="1"/>
    <xf numFmtId="38" fontId="0" fillId="0" borderId="0" xfId="2" applyFont="1"/>
    <xf numFmtId="225" fontId="0" fillId="0" borderId="5" xfId="0" applyNumberFormat="1" applyBorder="1" applyAlignment="1">
      <alignment horizontal="right"/>
    </xf>
    <xf numFmtId="226" fontId="0" fillId="0" borderId="5" xfId="0" applyNumberFormat="1" applyBorder="1"/>
    <xf numFmtId="226" fontId="0" fillId="0" borderId="5" xfId="0" applyNumberFormat="1" applyBorder="1" applyAlignment="1">
      <alignment horizontal="right"/>
    </xf>
    <xf numFmtId="178" fontId="16" fillId="0" borderId="51" xfId="0" applyNumberFormat="1" applyFont="1" applyBorder="1" applyProtection="1">
      <protection locked="0"/>
    </xf>
    <xf numFmtId="0" fontId="30" fillId="0" borderId="80" xfId="0" applyFont="1" applyBorder="1"/>
    <xf numFmtId="38" fontId="0" fillId="0" borderId="0" xfId="0" applyNumberFormat="1"/>
    <xf numFmtId="0" fontId="6" fillId="0" borderId="5" xfId="0" quotePrefix="1" applyFont="1" applyBorder="1" applyAlignment="1" applyProtection="1">
      <alignment horizontal="center"/>
      <protection locked="0"/>
    </xf>
    <xf numFmtId="0" fontId="29" fillId="0" borderId="40" xfId="0" applyFont="1" applyBorder="1" applyProtection="1">
      <protection locked="0"/>
    </xf>
    <xf numFmtId="38" fontId="29" fillId="0" borderId="0" xfId="2" applyFont="1"/>
    <xf numFmtId="0" fontId="10" fillId="0" borderId="67" xfId="1" applyNumberFormat="1" applyFont="1" applyBorder="1" applyAlignment="1">
      <alignment horizontal="right"/>
    </xf>
    <xf numFmtId="0" fontId="10" fillId="0" borderId="66" xfId="1" applyNumberFormat="1" applyFont="1" applyBorder="1" applyAlignment="1">
      <alignment horizontal="right"/>
    </xf>
    <xf numFmtId="0" fontId="10" fillId="0" borderId="67" xfId="0" applyNumberFormat="1" applyFont="1" applyBorder="1" applyAlignment="1">
      <alignment horizontal="right"/>
    </xf>
    <xf numFmtId="0" fontId="10" fillId="0" borderId="66" xfId="0" applyNumberFormat="1" applyFont="1" applyBorder="1" applyAlignment="1">
      <alignment horizontal="right"/>
    </xf>
    <xf numFmtId="0" fontId="0" fillId="0" borderId="4" xfId="0" applyNumberFormat="1" applyBorder="1" applyAlignment="1">
      <alignment horizontal="right"/>
    </xf>
    <xf numFmtId="0" fontId="0" fillId="0" borderId="51" xfId="0" applyBorder="1"/>
    <xf numFmtId="0" fontId="0" fillId="0" borderId="81" xfId="0" applyBorder="1" applyAlignment="1">
      <alignment horizontal="centerContinuous"/>
    </xf>
    <xf numFmtId="177" fontId="0" fillId="0" borderId="0" xfId="0" applyNumberFormat="1"/>
    <xf numFmtId="181" fontId="20" fillId="0" borderId="0" xfId="0" applyNumberFormat="1" applyFont="1" applyBorder="1" applyAlignment="1">
      <alignment horizontal="right"/>
    </xf>
    <xf numFmtId="183" fontId="21" fillId="0" borderId="0" xfId="0" applyNumberFormat="1" applyFont="1" applyBorder="1" applyAlignment="1">
      <alignment horizontal="right"/>
    </xf>
    <xf numFmtId="181" fontId="20" fillId="0" borderId="0" xfId="0" applyNumberFormat="1" applyFont="1" applyBorder="1"/>
    <xf numFmtId="176" fontId="20" fillId="0" borderId="30" xfId="0" applyNumberFormat="1" applyFont="1" applyBorder="1" applyAlignment="1">
      <alignment horizontal="right"/>
    </xf>
    <xf numFmtId="176" fontId="20" fillId="0" borderId="57" xfId="0" applyNumberFormat="1" applyFont="1" applyBorder="1" applyAlignment="1">
      <alignment horizontal="right"/>
    </xf>
    <xf numFmtId="176" fontId="20" fillId="0" borderId="28" xfId="0" applyNumberFormat="1" applyFont="1" applyBorder="1"/>
    <xf numFmtId="182" fontId="13" fillId="0" borderId="4" xfId="0" applyNumberFormat="1" applyFont="1" applyBorder="1" applyAlignment="1">
      <alignment horizontal="center" shrinkToFit="1"/>
    </xf>
    <xf numFmtId="182" fontId="13" fillId="0" borderId="5" xfId="0" applyNumberFormat="1" applyFont="1" applyBorder="1" applyAlignment="1">
      <alignment horizontal="center" shrinkToFit="1"/>
    </xf>
    <xf numFmtId="38" fontId="1" fillId="0" borderId="0" xfId="2" applyFont="1"/>
    <xf numFmtId="196" fontId="0" fillId="0" borderId="5" xfId="0" applyNumberFormat="1" applyBorder="1" applyAlignment="1">
      <alignment horizontal="right"/>
    </xf>
    <xf numFmtId="0" fontId="30" fillId="0" borderId="40" xfId="0" applyFont="1" applyBorder="1" applyAlignment="1">
      <alignment shrinkToFit="1"/>
    </xf>
    <xf numFmtId="0" fontId="0" fillId="0" borderId="0" xfId="0" applyAlignment="1">
      <alignment horizontal="right"/>
    </xf>
    <xf numFmtId="180" fontId="0" fillId="0" borderId="5" xfId="0" applyNumberFormat="1" applyBorder="1" applyAlignment="1">
      <alignment horizontal="center"/>
    </xf>
    <xf numFmtId="0" fontId="6" fillId="0" borderId="5" xfId="0" applyNumberFormat="1" applyFont="1" applyBorder="1" applyAlignment="1">
      <alignment horizontal="right"/>
    </xf>
    <xf numFmtId="0" fontId="6" fillId="0" borderId="34" xfId="0" applyNumberFormat="1" applyFont="1" applyBorder="1" applyAlignment="1">
      <alignment horizontal="right"/>
    </xf>
    <xf numFmtId="185" fontId="6" fillId="0" borderId="34" xfId="0" applyNumberFormat="1" applyFont="1" applyBorder="1" applyAlignment="1">
      <alignment horizontal="right"/>
    </xf>
    <xf numFmtId="0" fontId="29" fillId="0" borderId="5" xfId="0" applyNumberFormat="1" applyFont="1" applyBorder="1" applyAlignment="1">
      <alignment horizontal="right"/>
    </xf>
    <xf numFmtId="0" fontId="29" fillId="0" borderId="34" xfId="0" applyNumberFormat="1" applyFont="1" applyBorder="1" applyAlignment="1">
      <alignment horizontal="right"/>
    </xf>
    <xf numFmtId="227" fontId="11" fillId="0" borderId="0" xfId="0" applyNumberFormat="1" applyFont="1" applyAlignment="1">
      <alignment horizontal="center"/>
    </xf>
    <xf numFmtId="0" fontId="0" fillId="0" borderId="5" xfId="0" applyFont="1" applyBorder="1" applyAlignment="1">
      <alignment horizontal="center"/>
    </xf>
    <xf numFmtId="214" fontId="0" fillId="0" borderId="5" xfId="0" applyNumberFormat="1" applyFont="1" applyBorder="1"/>
    <xf numFmtId="0" fontId="0" fillId="0" borderId="4" xfId="0" applyFont="1" applyBorder="1"/>
    <xf numFmtId="0" fontId="0" fillId="0" borderId="5" xfId="0" applyFont="1" applyBorder="1"/>
    <xf numFmtId="0" fontId="0" fillId="0" borderId="24" xfId="0" applyFont="1" applyBorder="1"/>
    <xf numFmtId="0" fontId="0" fillId="0" borderId="40" xfId="0" applyFont="1" applyBorder="1"/>
    <xf numFmtId="182" fontId="0" fillId="0" borderId="4" xfId="0" applyNumberFormat="1" applyFont="1" applyBorder="1" applyAlignment="1">
      <alignment horizontal="center" shrinkToFit="1"/>
    </xf>
    <xf numFmtId="182" fontId="0" fillId="0" borderId="5" xfId="0" applyNumberFormat="1" applyFont="1" applyBorder="1" applyAlignment="1">
      <alignment horizontal="center" shrinkToFit="1"/>
    </xf>
    <xf numFmtId="38" fontId="20" fillId="0" borderId="15" xfId="2" applyFont="1" applyBorder="1"/>
    <xf numFmtId="0" fontId="0" fillId="0" borderId="22" xfId="0" applyFont="1" applyBorder="1" applyAlignment="1">
      <alignment horizontal="center"/>
    </xf>
    <xf numFmtId="0" fontId="0" fillId="0" borderId="23" xfId="0" applyFont="1" applyBorder="1" applyAlignment="1">
      <alignment horizontal="center"/>
    </xf>
    <xf numFmtId="0" fontId="0" fillId="0" borderId="77" xfId="0" applyFont="1" applyBorder="1" applyAlignment="1">
      <alignment horizontal="center"/>
    </xf>
    <xf numFmtId="0" fontId="0" fillId="0" borderId="68" xfId="0" applyFont="1" applyBorder="1" applyAlignment="1">
      <alignment horizontal="center"/>
    </xf>
    <xf numFmtId="0" fontId="0" fillId="0" borderId="0" xfId="0" applyAlignment="1">
      <alignment horizontal="right"/>
    </xf>
    <xf numFmtId="38" fontId="20" fillId="0" borderId="20" xfId="2" applyFont="1" applyFill="1" applyBorder="1"/>
    <xf numFmtId="227" fontId="0" fillId="0" borderId="0" xfId="0" applyNumberFormat="1" applyFont="1"/>
    <xf numFmtId="0" fontId="9" fillId="0" borderId="11" xfId="0" applyFont="1" applyBorder="1" applyAlignment="1">
      <alignment horizontal="right"/>
    </xf>
    <xf numFmtId="0" fontId="0" fillId="0" borderId="11" xfId="0" applyBorder="1" applyAlignment="1">
      <alignment horizontal="right"/>
    </xf>
    <xf numFmtId="0" fontId="0" fillId="0" borderId="40" xfId="0" applyFont="1" applyBorder="1" applyAlignment="1">
      <alignment shrinkToFit="1"/>
    </xf>
    <xf numFmtId="184" fontId="0" fillId="0" borderId="5" xfId="0" applyNumberFormat="1" applyFont="1" applyBorder="1"/>
    <xf numFmtId="0" fontId="0" fillId="0" borderId="0" xfId="0" applyAlignment="1">
      <alignment horizontal="right"/>
    </xf>
    <xf numFmtId="38" fontId="20" fillId="0" borderId="57" xfId="2" applyFont="1" applyBorder="1"/>
    <xf numFmtId="38" fontId="20" fillId="0" borderId="26" xfId="2" applyFont="1" applyBorder="1"/>
    <xf numFmtId="178" fontId="0" fillId="0" borderId="12" xfId="0" applyNumberFormat="1" applyBorder="1"/>
    <xf numFmtId="176" fontId="0" fillId="0" borderId="4" xfId="0" applyNumberFormat="1" applyBorder="1"/>
    <xf numFmtId="176" fontId="0" fillId="0" borderId="4" xfId="0" applyNumberFormat="1" applyBorder="1" applyAlignment="1">
      <alignment horizontal="right"/>
    </xf>
    <xf numFmtId="181" fontId="0" fillId="0" borderId="4" xfId="0" applyNumberFormat="1" applyBorder="1" applyAlignment="1">
      <alignment horizontal="right"/>
    </xf>
    <xf numFmtId="181" fontId="0" fillId="0" borderId="24" xfId="0" applyNumberFormat="1" applyBorder="1" applyAlignment="1">
      <alignment horizontal="right"/>
    </xf>
    <xf numFmtId="179" fontId="1" fillId="0" borderId="60" xfId="0" applyNumberFormat="1" applyFont="1" applyBorder="1" applyAlignment="1">
      <alignment horizontal="center"/>
    </xf>
    <xf numFmtId="0" fontId="25" fillId="0" borderId="11" xfId="0" applyFont="1" applyBorder="1" applyAlignment="1" applyProtection="1">
      <alignment horizontal="center"/>
    </xf>
    <xf numFmtId="0" fontId="9" fillId="0" borderId="11" xfId="0" applyFont="1" applyBorder="1" applyAlignment="1">
      <alignment horizontal="center"/>
    </xf>
    <xf numFmtId="0" fontId="0" fillId="0" borderId="11" xfId="0" applyBorder="1" applyAlignment="1">
      <alignment horizontal="center"/>
    </xf>
    <xf numFmtId="0" fontId="2" fillId="0" borderId="11" xfId="0" applyFont="1" applyBorder="1" applyAlignment="1" applyProtection="1">
      <alignment horizontal="center"/>
    </xf>
    <xf numFmtId="177" fontId="30" fillId="0" borderId="5" xfId="0" applyNumberFormat="1" applyFont="1" applyBorder="1"/>
    <xf numFmtId="0" fontId="9" fillId="0" borderId="3" xfId="0" applyFont="1" applyBorder="1" applyAlignment="1">
      <alignment horizontal="center"/>
    </xf>
    <xf numFmtId="0" fontId="9" fillId="0" borderId="1" xfId="0" quotePrefix="1" applyFont="1" applyBorder="1" applyAlignment="1">
      <alignment horizontal="center"/>
    </xf>
    <xf numFmtId="0" fontId="1" fillId="0" borderId="1" xfId="0" applyFont="1" applyBorder="1" applyAlignment="1">
      <alignment horizontal="right"/>
    </xf>
    <xf numFmtId="0" fontId="1" fillId="0" borderId="1" xfId="0" applyFont="1" applyBorder="1" applyAlignment="1">
      <alignment horizontal="left"/>
    </xf>
    <xf numFmtId="0" fontId="1" fillId="0" borderId="36" xfId="0" applyFont="1" applyBorder="1" applyAlignment="1">
      <alignment horizontal="right"/>
    </xf>
    <xf numFmtId="0" fontId="1" fillId="0" borderId="0" xfId="0" applyFont="1" applyBorder="1"/>
    <xf numFmtId="0" fontId="1" fillId="0" borderId="35" xfId="0" applyFont="1" applyBorder="1" applyAlignment="1">
      <alignment horizontal="center" vertical="center"/>
    </xf>
    <xf numFmtId="0" fontId="1" fillId="0" borderId="0" xfId="0" applyFont="1" applyAlignment="1">
      <alignment vertical="center"/>
    </xf>
    <xf numFmtId="0" fontId="1" fillId="0" borderId="1" xfId="0" applyFont="1" applyBorder="1" applyAlignment="1">
      <alignment horizontal="center" shrinkToFit="1"/>
    </xf>
    <xf numFmtId="228" fontId="1" fillId="5" borderId="81" xfId="0" applyNumberFormat="1" applyFont="1" applyFill="1" applyBorder="1" applyAlignment="1">
      <alignment shrinkToFit="1"/>
    </xf>
    <xf numFmtId="40" fontId="1" fillId="5" borderId="1" xfId="0" applyNumberFormat="1" applyFont="1" applyFill="1" applyBorder="1" applyAlignment="1">
      <alignment shrinkToFit="1"/>
    </xf>
    <xf numFmtId="221" fontId="1" fillId="5" borderId="81" xfId="0" applyNumberFormat="1" applyFont="1" applyFill="1" applyBorder="1" applyAlignment="1">
      <alignment shrinkToFit="1"/>
    </xf>
    <xf numFmtId="0" fontId="1" fillId="0" borderId="0" xfId="0" applyFont="1" applyBorder="1" applyAlignment="1">
      <alignment horizontal="center" shrinkToFit="1"/>
    </xf>
    <xf numFmtId="228" fontId="1" fillId="5" borderId="34" xfId="0" applyNumberFormat="1" applyFont="1" applyFill="1" applyBorder="1" applyAlignment="1">
      <alignment shrinkToFit="1"/>
    </xf>
    <xf numFmtId="40" fontId="1" fillId="5" borderId="2" xfId="0" applyNumberFormat="1" applyFont="1" applyFill="1" applyBorder="1" applyAlignment="1">
      <alignment shrinkToFit="1"/>
    </xf>
    <xf numFmtId="221" fontId="1" fillId="5" borderId="34" xfId="0" applyNumberFormat="1" applyFont="1" applyFill="1" applyBorder="1" applyAlignment="1">
      <alignment shrinkToFit="1"/>
    </xf>
    <xf numFmtId="228" fontId="1" fillId="0" borderId="68" xfId="0" applyNumberFormat="1" applyFont="1" applyBorder="1" applyAlignment="1">
      <alignment shrinkToFit="1"/>
    </xf>
    <xf numFmtId="40" fontId="1" fillId="0" borderId="0" xfId="0" applyNumberFormat="1" applyFont="1" applyBorder="1" applyAlignment="1">
      <alignment shrinkToFit="1"/>
    </xf>
    <xf numFmtId="221" fontId="1" fillId="0" borderId="68" xfId="0" applyNumberFormat="1" applyFont="1" applyBorder="1" applyAlignment="1">
      <alignment shrinkToFit="1"/>
    </xf>
    <xf numFmtId="0" fontId="1" fillId="0" borderId="2" xfId="0" applyFont="1" applyBorder="1" applyAlignment="1">
      <alignment horizontal="center" shrinkToFit="1"/>
    </xf>
    <xf numFmtId="228" fontId="1" fillId="0" borderId="34" xfId="0" applyNumberFormat="1" applyFont="1" applyBorder="1" applyAlignment="1">
      <alignment shrinkToFit="1"/>
    </xf>
    <xf numFmtId="40" fontId="1" fillId="0" borderId="2" xfId="0" applyNumberFormat="1" applyFont="1" applyBorder="1" applyAlignment="1">
      <alignment shrinkToFit="1"/>
    </xf>
    <xf numFmtId="221" fontId="1" fillId="0" borderId="34" xfId="0" applyNumberFormat="1" applyFont="1" applyBorder="1" applyAlignment="1">
      <alignment shrinkToFit="1"/>
    </xf>
    <xf numFmtId="40" fontId="30" fillId="0" borderId="2" xfId="0" applyNumberFormat="1" applyFont="1" applyBorder="1" applyAlignment="1">
      <alignment shrinkToFit="1"/>
    </xf>
    <xf numFmtId="221" fontId="30" fillId="0" borderId="34" xfId="0" applyNumberFormat="1" applyFont="1" applyBorder="1" applyAlignment="1">
      <alignment shrinkToFit="1"/>
    </xf>
    <xf numFmtId="228" fontId="1" fillId="0" borderId="34" xfId="0" applyNumberFormat="1" applyFont="1" applyFill="1" applyBorder="1" applyAlignment="1">
      <alignment shrinkToFit="1"/>
    </xf>
    <xf numFmtId="40" fontId="1" fillId="0" borderId="2" xfId="0" applyNumberFormat="1" applyFont="1" applyFill="1" applyBorder="1" applyAlignment="1">
      <alignment shrinkToFit="1"/>
    </xf>
    <xf numFmtId="0" fontId="9" fillId="0" borderId="1" xfId="0" applyFont="1" applyBorder="1" applyAlignment="1">
      <alignment horizontal="center"/>
    </xf>
    <xf numFmtId="0" fontId="1" fillId="0" borderId="0" xfId="0" applyFont="1" applyAlignment="1">
      <alignment horizontal="center"/>
    </xf>
    <xf numFmtId="228" fontId="33" fillId="6" borderId="34" xfId="0" applyNumberFormat="1" applyFont="1" applyFill="1" applyBorder="1" applyAlignment="1">
      <alignment shrinkToFit="1"/>
    </xf>
    <xf numFmtId="228" fontId="33" fillId="0" borderId="34" xfId="0" applyNumberFormat="1" applyFont="1" applyBorder="1" applyAlignment="1">
      <alignment shrinkToFit="1"/>
    </xf>
    <xf numFmtId="182" fontId="33" fillId="0" borderId="4" xfId="0" applyNumberFormat="1" applyFont="1" applyBorder="1" applyAlignment="1">
      <alignment horizontal="center" shrinkToFit="1"/>
    </xf>
    <xf numFmtId="182" fontId="33" fillId="0" borderId="5" xfId="0" applyNumberFormat="1" applyFont="1" applyBorder="1" applyAlignment="1">
      <alignment horizontal="center" shrinkToFit="1"/>
    </xf>
    <xf numFmtId="190" fontId="33" fillId="0" borderId="5" xfId="0" applyNumberFormat="1" applyFont="1" applyBorder="1" applyAlignment="1" applyProtection="1">
      <alignment horizontal="center"/>
      <protection locked="0"/>
    </xf>
    <xf numFmtId="0" fontId="33" fillId="0" borderId="5" xfId="0" applyFont="1" applyBorder="1" applyAlignment="1" applyProtection="1">
      <alignment horizontal="center"/>
      <protection locked="0"/>
    </xf>
    <xf numFmtId="0" fontId="0" fillId="0" borderId="5" xfId="0" applyNumberFormat="1" applyBorder="1" applyAlignment="1">
      <alignment horizontal="center"/>
    </xf>
    <xf numFmtId="177" fontId="0" fillId="0" borderId="5" xfId="0" applyNumberFormat="1" applyBorder="1" applyAlignment="1">
      <alignment horizontal="right"/>
    </xf>
    <xf numFmtId="0" fontId="3" fillId="0" borderId="0" xfId="0" applyFont="1" applyAlignment="1">
      <alignment horizontal="distributed" vertical="center" justifyLastLine="1"/>
    </xf>
    <xf numFmtId="217" fontId="9" fillId="0" borderId="0" xfId="0" applyNumberFormat="1" applyFont="1" applyBorder="1" applyAlignment="1">
      <alignment horizontal="right" vertical="top"/>
    </xf>
    <xf numFmtId="218" fontId="9" fillId="0" borderId="0" xfId="0" applyNumberFormat="1" applyFont="1" applyAlignment="1">
      <alignment horizontal="right"/>
    </xf>
    <xf numFmtId="0" fontId="9" fillId="0" borderId="1" xfId="0" applyFont="1" applyBorder="1" applyAlignment="1">
      <alignment horizontal="distributed" vertical="center"/>
    </xf>
    <xf numFmtId="0" fontId="9" fillId="0" borderId="2" xfId="0" applyFont="1" applyBorder="1" applyAlignment="1">
      <alignment horizontal="distributed" vertical="center"/>
    </xf>
    <xf numFmtId="0" fontId="9" fillId="0" borderId="42" xfId="0" applyFont="1" applyBorder="1" applyAlignment="1">
      <alignment horizontal="distributed" vertical="center" justifyLastLine="1"/>
    </xf>
    <xf numFmtId="0" fontId="9" fillId="0" borderId="1" xfId="0" applyFont="1" applyBorder="1" applyAlignment="1">
      <alignment horizontal="distributed" vertical="center" wrapText="1" justifyLastLine="1"/>
    </xf>
    <xf numFmtId="0" fontId="9" fillId="0" borderId="2" xfId="0" applyFont="1" applyBorder="1" applyAlignment="1">
      <alignment horizontal="distributed" vertical="center" wrapText="1" justifyLastLine="1"/>
    </xf>
    <xf numFmtId="0" fontId="0" fillId="0" borderId="81" xfId="0" applyBorder="1" applyAlignment="1">
      <alignment horizontal="center" vertical="center" wrapText="1"/>
    </xf>
    <xf numFmtId="0" fontId="0" fillId="0" borderId="68" xfId="0" applyBorder="1" applyAlignment="1">
      <alignment horizontal="center" vertical="center" wrapText="1"/>
    </xf>
    <xf numFmtId="0" fontId="0" fillId="0" borderId="69" xfId="0" applyBorder="1" applyAlignment="1">
      <alignment horizontal="center" vertical="center" wrapText="1"/>
    </xf>
    <xf numFmtId="0" fontId="0" fillId="0" borderId="64" xfId="0" applyBorder="1" applyAlignment="1">
      <alignment horizontal="center" vertical="center" wrapText="1"/>
    </xf>
    <xf numFmtId="0" fontId="0" fillId="0" borderId="12" xfId="0" applyBorder="1" applyAlignment="1">
      <alignment horizontal="center" vertical="center" wrapText="1"/>
    </xf>
    <xf numFmtId="0" fontId="0" fillId="0" borderId="25" xfId="0" applyBorder="1" applyAlignment="1">
      <alignment horizontal="center" vertical="center" wrapText="1"/>
    </xf>
    <xf numFmtId="0" fontId="0" fillId="0" borderId="36" xfId="0" applyBorder="1" applyAlignment="1">
      <alignment horizontal="center" vertical="center" wrapText="1"/>
    </xf>
    <xf numFmtId="0" fontId="1" fillId="0" borderId="81" xfId="0" applyFont="1" applyBorder="1" applyAlignment="1">
      <alignment horizontal="center" vertical="center" wrapText="1"/>
    </xf>
    <xf numFmtId="0" fontId="0" fillId="0" borderId="82" xfId="0" applyBorder="1" applyAlignment="1">
      <alignment horizontal="center" vertical="center" wrapText="1"/>
    </xf>
    <xf numFmtId="0" fontId="0" fillId="0" borderId="50" xfId="0" applyBorder="1" applyAlignment="1">
      <alignment horizontal="center" vertical="center" wrapText="1"/>
    </xf>
    <xf numFmtId="0" fontId="0" fillId="0" borderId="83" xfId="0" applyBorder="1" applyAlignment="1">
      <alignment horizontal="center" vertical="center" wrapText="1"/>
    </xf>
    <xf numFmtId="0" fontId="0" fillId="0" borderId="8" xfId="0" applyBorder="1" applyAlignment="1">
      <alignment horizontal="center" vertical="center"/>
    </xf>
    <xf numFmtId="0" fontId="0" fillId="0" borderId="84" xfId="0" applyBorder="1" applyAlignment="1">
      <alignment horizontal="center" vertical="center"/>
    </xf>
    <xf numFmtId="0" fontId="0" fillId="0" borderId="25" xfId="0" applyBorder="1" applyAlignment="1">
      <alignment horizontal="center" vertical="center"/>
    </xf>
    <xf numFmtId="0" fontId="0" fillId="0" borderId="85" xfId="0" applyBorder="1" applyAlignment="1">
      <alignment horizontal="center" vertical="center"/>
    </xf>
    <xf numFmtId="0" fontId="0" fillId="0" borderId="77" xfId="0" applyBorder="1" applyAlignment="1">
      <alignment horizontal="center" vertical="center"/>
    </xf>
    <xf numFmtId="0" fontId="0" fillId="0" borderId="69" xfId="0" applyBorder="1" applyAlignment="1">
      <alignment horizontal="center" vertical="center"/>
    </xf>
    <xf numFmtId="0" fontId="0" fillId="0" borderId="22"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86" xfId="0" applyBorder="1" applyAlignment="1">
      <alignment horizontal="center" vertical="center"/>
    </xf>
    <xf numFmtId="203" fontId="10" fillId="0" borderId="4" xfId="0" quotePrefix="1" applyNumberFormat="1" applyFont="1" applyBorder="1" applyAlignment="1">
      <alignment horizontal="right"/>
    </xf>
    <xf numFmtId="0" fontId="0" fillId="0" borderId="0" xfId="0" applyAlignment="1">
      <alignment horizontal="right"/>
    </xf>
    <xf numFmtId="0" fontId="0" fillId="0" borderId="68" xfId="0" applyBorder="1" applyAlignment="1">
      <alignment horizontal="center" vertic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9" xfId="0" applyBorder="1" applyAlignment="1">
      <alignment horizontal="center" vertical="center" wrapText="1"/>
    </xf>
    <xf numFmtId="0" fontId="22" fillId="0" borderId="12" xfId="0" applyFont="1" applyBorder="1" applyAlignment="1">
      <alignment horizontal="center" vertical="top"/>
    </xf>
    <xf numFmtId="0" fontId="22" fillId="0" borderId="0" xfId="0" applyFont="1" applyBorder="1" applyAlignment="1">
      <alignment horizontal="center" vertical="top"/>
    </xf>
    <xf numFmtId="0" fontId="22" fillId="0" borderId="11" xfId="0" applyFont="1" applyBorder="1" applyAlignment="1">
      <alignment horizontal="center" vertical="top"/>
    </xf>
    <xf numFmtId="0" fontId="0" fillId="0" borderId="8" xfId="0" applyBorder="1" applyAlignment="1">
      <alignment horizontal="center" vertical="center" wrapText="1"/>
    </xf>
    <xf numFmtId="220" fontId="1" fillId="0" borderId="22" xfId="0" applyNumberFormat="1" applyFont="1" applyBorder="1" applyAlignment="1">
      <alignment horizontal="center" vertical="center" wrapText="1"/>
    </xf>
    <xf numFmtId="220" fontId="0" fillId="0" borderId="4" xfId="0" applyNumberFormat="1" applyBorder="1" applyAlignment="1">
      <alignment horizontal="center" vertical="center" wrapText="1"/>
    </xf>
    <xf numFmtId="220" fontId="0" fillId="0" borderId="19" xfId="0" applyNumberFormat="1" applyBorder="1" applyAlignment="1">
      <alignment horizontal="center" vertical="center" wrapText="1"/>
    </xf>
    <xf numFmtId="0" fontId="1" fillId="0" borderId="4" xfId="0" applyFont="1" applyBorder="1" applyAlignment="1">
      <alignment vertical="top" shrinkToFit="1"/>
    </xf>
    <xf numFmtId="0" fontId="1" fillId="0" borderId="0" xfId="0" applyFont="1" applyBorder="1" applyAlignment="1">
      <alignment vertical="top" shrinkToFit="1"/>
    </xf>
    <xf numFmtId="0" fontId="1" fillId="0" borderId="37" xfId="0" applyFont="1" applyBorder="1" applyAlignment="1">
      <alignment vertical="top" shrinkToFit="1"/>
    </xf>
    <xf numFmtId="0" fontId="1" fillId="0" borderId="4" xfId="0" applyFont="1" applyBorder="1" applyAlignment="1">
      <alignment shrinkToFit="1"/>
    </xf>
    <xf numFmtId="0" fontId="1" fillId="0" borderId="0" xfId="0" applyFont="1" applyBorder="1" applyAlignment="1">
      <alignment shrinkToFit="1"/>
    </xf>
    <xf numFmtId="0" fontId="1" fillId="0" borderId="37" xfId="0" applyFont="1" applyBorder="1" applyAlignment="1">
      <alignment shrinkToFit="1"/>
    </xf>
    <xf numFmtId="0" fontId="1" fillId="0" borderId="5" xfId="0" applyFont="1" applyBorder="1" applyAlignment="1">
      <alignment vertical="top" shrinkToFit="1"/>
    </xf>
    <xf numFmtId="0" fontId="1" fillId="0" borderId="2" xfId="0" applyFont="1" applyBorder="1" applyAlignment="1">
      <alignment vertical="top" shrinkToFit="1"/>
    </xf>
    <xf numFmtId="0" fontId="1" fillId="0" borderId="33" xfId="0" applyFont="1" applyBorder="1" applyAlignment="1">
      <alignment vertical="top" shrinkToFit="1"/>
    </xf>
    <xf numFmtId="0" fontId="1" fillId="0" borderId="2" xfId="0" applyFont="1" applyBorder="1" applyAlignment="1">
      <alignment horizontal="left" shrinkToFit="1"/>
    </xf>
    <xf numFmtId="0" fontId="1" fillId="0" borderId="33" xfId="0" applyFont="1" applyBorder="1" applyAlignment="1">
      <alignment horizontal="left" shrinkToFit="1"/>
    </xf>
    <xf numFmtId="0" fontId="1" fillId="0" borderId="3" xfId="0" applyFont="1" applyBorder="1" applyAlignment="1">
      <alignment vertical="top" shrinkToFit="1"/>
    </xf>
    <xf numFmtId="0" fontId="1" fillId="0" borderId="1" xfId="0" applyFont="1" applyBorder="1" applyAlignment="1">
      <alignment vertical="top" shrinkToFit="1"/>
    </xf>
    <xf numFmtId="0" fontId="1" fillId="0" borderId="36" xfId="0" applyFont="1" applyBorder="1" applyAlignment="1">
      <alignment vertical="top" shrinkToFit="1"/>
    </xf>
    <xf numFmtId="0" fontId="1" fillId="0" borderId="1" xfId="0" applyFont="1" applyBorder="1" applyAlignment="1">
      <alignment horizontal="left" shrinkToFit="1"/>
    </xf>
    <xf numFmtId="0" fontId="1" fillId="0" borderId="36" xfId="0" applyFont="1" applyBorder="1" applyAlignment="1">
      <alignment horizontal="left" shrinkToFit="1"/>
    </xf>
    <xf numFmtId="0" fontId="0" fillId="0" borderId="1" xfId="0" applyFont="1" applyBorder="1" applyAlignment="1">
      <alignment horizontal="left" shrinkToFit="1"/>
    </xf>
    <xf numFmtId="0" fontId="1" fillId="0" borderId="2" xfId="0" applyFont="1" applyBorder="1" applyAlignment="1">
      <alignment horizontal="left"/>
    </xf>
    <xf numFmtId="0" fontId="1" fillId="0" borderId="1" xfId="0" applyFont="1" applyBorder="1" applyAlignment="1">
      <alignment horizontal="left"/>
    </xf>
    <xf numFmtId="0" fontId="1" fillId="0" borderId="4" xfId="0" applyFont="1" applyBorder="1" applyAlignment="1">
      <alignment horizontal="left"/>
    </xf>
    <xf numFmtId="0" fontId="1" fillId="0" borderId="0" xfId="0" applyFont="1" applyBorder="1" applyAlignment="1">
      <alignment horizontal="left"/>
    </xf>
    <xf numFmtId="0" fontId="1" fillId="0" borderId="0" xfId="0" applyFont="1" applyBorder="1" applyAlignment="1">
      <alignment horizontal="right"/>
    </xf>
    <xf numFmtId="0" fontId="1" fillId="0" borderId="37" xfId="0" applyFont="1" applyBorder="1" applyAlignment="1">
      <alignment horizontal="right"/>
    </xf>
    <xf numFmtId="0" fontId="1" fillId="0" borderId="35" xfId="0" applyFont="1" applyBorder="1" applyAlignment="1">
      <alignment horizontal="left" vertical="center"/>
    </xf>
    <xf numFmtId="0" fontId="1" fillId="0" borderId="35" xfId="0" applyFont="1" applyBorder="1" applyAlignment="1">
      <alignment horizontal="center" vertical="center"/>
    </xf>
    <xf numFmtId="0" fontId="0" fillId="0" borderId="36" xfId="0" applyFont="1" applyBorder="1" applyAlignment="1">
      <alignment horizontal="left" shrinkToFit="1"/>
    </xf>
  </cellXfs>
  <cellStyles count="3">
    <cellStyle name="パーセント" xfId="1" builtinId="5"/>
    <cellStyle name="桁区切り" xfId="2" builtinId="6"/>
    <cellStyle name="標準" xfId="0" builtinId="0"/>
  </cellStyles>
  <dxfs count="66">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
      <border>
        <bottom style="thin">
          <color indexed="64"/>
        </bottom>
      </border>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45187" name="AutoShape 1">
          <a:extLst>
            <a:ext uri="{FF2B5EF4-FFF2-40B4-BE49-F238E27FC236}">
              <a16:creationId xmlns:a16="http://schemas.microsoft.com/office/drawing/2014/main" id="{00000000-0008-0000-0300-000083B0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59523" name="AutoShape 1">
          <a:extLst>
            <a:ext uri="{FF2B5EF4-FFF2-40B4-BE49-F238E27FC236}">
              <a16:creationId xmlns:a16="http://schemas.microsoft.com/office/drawing/2014/main" id="{00000000-0008-0000-2200-000083E8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53379" name="AutoShape 1">
          <a:extLst>
            <a:ext uri="{FF2B5EF4-FFF2-40B4-BE49-F238E27FC236}">
              <a16:creationId xmlns:a16="http://schemas.microsoft.com/office/drawing/2014/main" id="{00000000-0008-0000-2300-000083D0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2" name="AutoShape 1">
          <a:extLst>
            <a:ext uri="{FF2B5EF4-FFF2-40B4-BE49-F238E27FC236}">
              <a16:creationId xmlns:a16="http://schemas.microsoft.com/office/drawing/2014/main" id="{00000000-0008-0000-0E00-00000200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2" name="AutoShape 1">
          <a:extLst>
            <a:ext uri="{FF2B5EF4-FFF2-40B4-BE49-F238E27FC236}">
              <a16:creationId xmlns:a16="http://schemas.microsoft.com/office/drawing/2014/main" id="{00000000-0008-0000-0F00-00000200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47247" name="AutoShape 1">
          <a:extLst>
            <a:ext uri="{FF2B5EF4-FFF2-40B4-BE49-F238E27FC236}">
              <a16:creationId xmlns:a16="http://schemas.microsoft.com/office/drawing/2014/main" id="{00000000-0008-0000-1C00-00008FB8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48259" name="AutoShape 1">
          <a:extLst>
            <a:ext uri="{FF2B5EF4-FFF2-40B4-BE49-F238E27FC236}">
              <a16:creationId xmlns:a16="http://schemas.microsoft.com/office/drawing/2014/main" id="{00000000-0008-0000-1D00-000083BC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57475" name="AutoShape 1">
          <a:extLst>
            <a:ext uri="{FF2B5EF4-FFF2-40B4-BE49-F238E27FC236}">
              <a16:creationId xmlns:a16="http://schemas.microsoft.com/office/drawing/2014/main" id="{00000000-0008-0000-1E00-000083E0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51331" name="AutoShape 1">
          <a:extLst>
            <a:ext uri="{FF2B5EF4-FFF2-40B4-BE49-F238E27FC236}">
              <a16:creationId xmlns:a16="http://schemas.microsoft.com/office/drawing/2014/main" id="{00000000-0008-0000-1F00-000083C8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50307" name="AutoShape 1">
          <a:extLst>
            <a:ext uri="{FF2B5EF4-FFF2-40B4-BE49-F238E27FC236}">
              <a16:creationId xmlns:a16="http://schemas.microsoft.com/office/drawing/2014/main" id="{00000000-0008-0000-2000-000083C4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600075</xdr:colOff>
      <xdr:row>1</xdr:row>
      <xdr:rowOff>95250</xdr:rowOff>
    </xdr:from>
    <xdr:to>
      <xdr:col>3</xdr:col>
      <xdr:colOff>676275</xdr:colOff>
      <xdr:row>3</xdr:row>
      <xdr:rowOff>123825</xdr:rowOff>
    </xdr:to>
    <xdr:sp macro="" textlink="">
      <xdr:nvSpPr>
        <xdr:cNvPr id="60547" name="AutoShape 1">
          <a:extLst>
            <a:ext uri="{FF2B5EF4-FFF2-40B4-BE49-F238E27FC236}">
              <a16:creationId xmlns:a16="http://schemas.microsoft.com/office/drawing/2014/main" id="{00000000-0008-0000-2100-000083EC0000}"/>
            </a:ext>
          </a:extLst>
        </xdr:cNvPr>
        <xdr:cNvSpPr>
          <a:spLocks/>
        </xdr:cNvSpPr>
      </xdr:nvSpPr>
      <xdr:spPr bwMode="auto">
        <a:xfrm>
          <a:off x="2419350" y="266700"/>
          <a:ext cx="76200" cy="371475"/>
        </a:xfrm>
        <a:prstGeom prst="rightBrace">
          <a:avLst>
            <a:gd name="adj1" fmla="val 40625"/>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O54"/>
  <sheetViews>
    <sheetView showZeros="0" view="pageBreakPreview" zoomScaleNormal="90" zoomScaleSheetLayoutView="100" workbookViewId="0">
      <selection activeCell="H3" sqref="H3"/>
    </sheetView>
  </sheetViews>
  <sheetFormatPr defaultRowHeight="13.5" x14ac:dyDescent="0.15"/>
  <cols>
    <col min="1" max="1" width="10.625" customWidth="1"/>
    <col min="2" max="2" width="1.625" customWidth="1"/>
    <col min="3" max="3" width="10.625" customWidth="1"/>
    <col min="4" max="5" width="1.625" customWidth="1"/>
    <col min="6" max="6" width="22.625" customWidth="1"/>
    <col min="7" max="7" width="5.625" customWidth="1"/>
    <col min="8" max="8" width="11.125" customWidth="1"/>
    <col min="9" max="9" width="6.625" customWidth="1"/>
    <col min="10" max="10" width="10.625" customWidth="1"/>
    <col min="11" max="11" width="15.625" customWidth="1"/>
    <col min="12" max="12" width="1.625" customWidth="1"/>
    <col min="15" max="15" width="10.5" customWidth="1"/>
  </cols>
  <sheetData>
    <row r="1" spans="2:15" ht="14.25" thickBot="1" x14ac:dyDescent="0.2"/>
    <row r="2" spans="2:15" ht="18" thickBot="1" x14ac:dyDescent="0.2">
      <c r="C2" s="740" t="s">
        <v>261</v>
      </c>
      <c r="D2" s="740"/>
      <c r="E2" s="740"/>
      <c r="F2" s="222" t="s">
        <v>262</v>
      </c>
      <c r="G2" s="222"/>
      <c r="H2" s="221">
        <v>1</v>
      </c>
      <c r="I2" s="223" t="s">
        <v>263</v>
      </c>
      <c r="J2" s="220" t="s">
        <v>264</v>
      </c>
      <c r="K2" s="220"/>
    </row>
    <row r="3" spans="2:15" ht="17.25" x14ac:dyDescent="0.2">
      <c r="F3" s="119"/>
      <c r="G3" s="119"/>
      <c r="I3" s="223" t="s">
        <v>265</v>
      </c>
      <c r="J3" s="220" t="s">
        <v>266</v>
      </c>
      <c r="K3" s="220"/>
    </row>
    <row r="5" spans="2:15" ht="17.25" hidden="1" x14ac:dyDescent="0.2">
      <c r="C5" s="120" t="s">
        <v>310</v>
      </c>
    </row>
    <row r="6" spans="2:15" ht="17.25" hidden="1" x14ac:dyDescent="0.15">
      <c r="D6" s="280" t="s">
        <v>312</v>
      </c>
      <c r="F6" s="281"/>
      <c r="G6" s="220" t="s">
        <v>313</v>
      </c>
    </row>
    <row r="7" spans="2:15" ht="18" hidden="1" thickBot="1" x14ac:dyDescent="0.2">
      <c r="D7" s="280" t="s">
        <v>309</v>
      </c>
      <c r="F7" s="282"/>
      <c r="G7" s="220" t="s">
        <v>313</v>
      </c>
    </row>
    <row r="9" spans="2:15" ht="24.75" thickBot="1" x14ac:dyDescent="0.3">
      <c r="B9" s="152"/>
      <c r="C9" s="153" t="s">
        <v>689</v>
      </c>
    </row>
    <row r="10" spans="2:15" ht="60" customHeight="1" x14ac:dyDescent="0.25">
      <c r="B10" s="154"/>
      <c r="C10" s="155" t="s">
        <v>243</v>
      </c>
      <c r="D10" s="156"/>
      <c r="E10" s="157"/>
      <c r="F10" s="745" t="s">
        <v>711</v>
      </c>
      <c r="G10" s="745"/>
      <c r="H10" s="745"/>
      <c r="I10" s="156"/>
      <c r="J10" s="156"/>
      <c r="K10" s="156"/>
      <c r="L10" s="158"/>
    </row>
    <row r="11" spans="2:15" ht="39.950000000000003" customHeight="1" x14ac:dyDescent="0.25">
      <c r="B11" s="328"/>
      <c r="C11" s="743" t="s">
        <v>244</v>
      </c>
      <c r="D11" s="329"/>
      <c r="E11" s="330"/>
      <c r="F11" s="746" t="s">
        <v>649</v>
      </c>
      <c r="G11" s="746"/>
      <c r="H11" s="746"/>
      <c r="I11" s="479"/>
      <c r="J11" s="481" t="s">
        <v>690</v>
      </c>
      <c r="K11" s="479"/>
      <c r="L11" s="331"/>
    </row>
    <row r="12" spans="2:15" ht="39.950000000000003" customHeight="1" x14ac:dyDescent="0.25">
      <c r="B12" s="159"/>
      <c r="C12" s="744"/>
      <c r="D12" s="161"/>
      <c r="E12" s="162"/>
      <c r="F12" s="495" t="s">
        <v>650</v>
      </c>
      <c r="G12" s="498"/>
      <c r="H12" s="747" t="s">
        <v>651</v>
      </c>
      <c r="I12" s="747"/>
      <c r="J12" s="747"/>
      <c r="K12" s="480"/>
      <c r="L12" s="164"/>
      <c r="O12" s="219"/>
    </row>
    <row r="13" spans="2:15" ht="14.25" x14ac:dyDescent="0.15">
      <c r="B13" s="165"/>
      <c r="C13" s="166"/>
      <c r="D13" s="166"/>
      <c r="E13" s="167"/>
      <c r="F13" s="166"/>
      <c r="G13" s="166"/>
      <c r="H13" s="166"/>
      <c r="I13" s="166"/>
      <c r="J13" s="166"/>
      <c r="K13" s="166"/>
      <c r="L13" s="112"/>
    </row>
    <row r="14" spans="2:15" ht="14.25" x14ac:dyDescent="0.15">
      <c r="B14" s="165"/>
      <c r="C14" s="166"/>
      <c r="D14" s="166"/>
      <c r="E14" s="167"/>
      <c r="F14" s="166"/>
      <c r="G14" s="166"/>
      <c r="H14" s="166"/>
      <c r="I14" s="166"/>
      <c r="J14" s="166"/>
      <c r="K14" s="166"/>
      <c r="L14" s="112"/>
    </row>
    <row r="15" spans="2:15" ht="17.25" x14ac:dyDescent="0.2">
      <c r="B15" s="165"/>
      <c r="C15" s="166"/>
      <c r="D15" s="166"/>
      <c r="E15" s="167"/>
      <c r="F15" s="168"/>
      <c r="G15" s="168"/>
      <c r="H15" s="169" t="e">
        <f>IF(OR(O15=0,H2&lt;&gt;2),0,DBCS(TEXT(O15,"(#,0) ")))</f>
        <v>#REF!</v>
      </c>
      <c r="I15" s="166"/>
      <c r="J15" s="166"/>
      <c r="K15" s="166"/>
      <c r="L15" s="112"/>
      <c r="O15" t="e">
        <f>-汚水価格!E4</f>
        <v>#REF!</v>
      </c>
    </row>
    <row r="16" spans="2:15" ht="17.25" x14ac:dyDescent="0.2">
      <c r="B16" s="165"/>
      <c r="C16" s="172" t="s">
        <v>245</v>
      </c>
      <c r="D16" s="166"/>
      <c r="E16" s="167"/>
      <c r="H16" s="170" t="e">
        <f>DBCS("\ "&amp;FIXED(汚水価格!E5,0))&amp;"－ "</f>
        <v>#REF!</v>
      </c>
      <c r="I16" s="482" t="s">
        <v>80</v>
      </c>
      <c r="J16" s="482" t="s">
        <v>81</v>
      </c>
      <c r="K16" s="325"/>
      <c r="L16" s="112"/>
      <c r="N16" t="s">
        <v>245</v>
      </c>
      <c r="O16" t="e">
        <f>汚水価格!E5</f>
        <v>#REF!</v>
      </c>
    </row>
    <row r="17" spans="2:15" ht="14.25" x14ac:dyDescent="0.15">
      <c r="B17" s="165"/>
      <c r="C17" s="172"/>
      <c r="D17" s="166"/>
      <c r="E17" s="167"/>
      <c r="I17" s="166"/>
      <c r="J17" s="166"/>
      <c r="K17" s="166"/>
      <c r="L17" s="112"/>
    </row>
    <row r="18" spans="2:15" ht="17.25" x14ac:dyDescent="0.2">
      <c r="B18" s="165"/>
      <c r="C18" s="173"/>
      <c r="D18" s="166"/>
      <c r="E18" s="167"/>
      <c r="G18" s="742">
        <f>IF(H2&lt;&gt;2,0,汚水価格!I27)</f>
        <v>0</v>
      </c>
      <c r="H18" s="742"/>
      <c r="I18" s="166"/>
      <c r="J18" s="166"/>
      <c r="K18" s="166"/>
      <c r="L18" s="112"/>
    </row>
    <row r="19" spans="2:15" ht="17.25" x14ac:dyDescent="0.2">
      <c r="B19" s="165"/>
      <c r="C19" s="173"/>
      <c r="D19" s="166"/>
      <c r="E19" s="167"/>
      <c r="F19" s="174" t="s">
        <v>246</v>
      </c>
      <c r="G19" s="741" t="e">
        <f>汚水価格!I28</f>
        <v>#REF!</v>
      </c>
      <c r="H19" s="741"/>
      <c r="I19" s="166"/>
      <c r="J19" s="326"/>
      <c r="K19" s="326"/>
      <c r="L19" s="112"/>
    </row>
    <row r="20" spans="2:15" ht="14.25" customHeight="1" x14ac:dyDescent="0.2">
      <c r="B20" s="165"/>
      <c r="C20" s="173"/>
      <c r="D20" s="166"/>
      <c r="E20" s="167"/>
      <c r="F20" s="174"/>
      <c r="G20" s="327"/>
      <c r="H20" s="327"/>
      <c r="I20" s="166"/>
      <c r="J20" s="326"/>
      <c r="K20" s="326"/>
      <c r="L20" s="112"/>
    </row>
    <row r="21" spans="2:15" ht="14.25" customHeight="1" x14ac:dyDescent="0.15">
      <c r="B21" s="175"/>
      <c r="C21" s="161"/>
      <c r="D21" s="161"/>
      <c r="E21" s="162"/>
      <c r="F21" s="161"/>
      <c r="G21" s="161"/>
      <c r="H21" s="161"/>
      <c r="I21" s="161"/>
      <c r="J21" s="161"/>
      <c r="K21" s="161"/>
      <c r="L21" s="164"/>
    </row>
    <row r="22" spans="2:15" ht="60" customHeight="1" x14ac:dyDescent="0.25">
      <c r="B22" s="159"/>
      <c r="C22" s="160" t="s">
        <v>247</v>
      </c>
      <c r="D22" s="161"/>
      <c r="E22" s="162"/>
      <c r="F22" s="163" t="s">
        <v>652</v>
      </c>
      <c r="G22" s="176"/>
      <c r="H22" s="163"/>
      <c r="I22" s="161"/>
      <c r="J22" s="161"/>
      <c r="K22" s="161"/>
      <c r="L22" s="164"/>
      <c r="O22" s="218"/>
    </row>
    <row r="23" spans="2:15" ht="14.25" x14ac:dyDescent="0.15">
      <c r="B23" s="165"/>
      <c r="C23" s="166"/>
      <c r="D23" s="166"/>
      <c r="E23" s="167"/>
      <c r="F23" s="171"/>
      <c r="G23" s="325"/>
      <c r="H23" s="177"/>
      <c r="I23" s="166"/>
      <c r="J23" s="166"/>
      <c r="K23" s="166"/>
      <c r="L23" s="112"/>
    </row>
    <row r="24" spans="2:15" ht="14.25" x14ac:dyDescent="0.15">
      <c r="B24" s="165"/>
      <c r="C24" s="166"/>
      <c r="D24" s="166"/>
      <c r="E24" s="167"/>
      <c r="F24" s="171"/>
      <c r="G24" s="325"/>
      <c r="H24" s="477"/>
      <c r="I24" s="166"/>
      <c r="J24" s="166"/>
      <c r="K24" s="166"/>
      <c r="L24" s="112"/>
    </row>
    <row r="25" spans="2:15" ht="14.25" x14ac:dyDescent="0.15">
      <c r="B25" s="165"/>
      <c r="C25" s="166"/>
      <c r="D25" s="166"/>
      <c r="E25" s="167"/>
      <c r="F25" s="171" t="s">
        <v>653</v>
      </c>
      <c r="G25" s="325"/>
      <c r="H25" s="499">
        <v>1460</v>
      </c>
      <c r="I25" s="166" t="s">
        <v>518</v>
      </c>
      <c r="J25" s="166"/>
      <c r="K25" s="166"/>
      <c r="L25" s="112"/>
    </row>
    <row r="26" spans="2:15" ht="14.25" x14ac:dyDescent="0.15">
      <c r="B26" s="165"/>
      <c r="C26" s="166"/>
      <c r="D26" s="166"/>
      <c r="E26" s="167"/>
      <c r="F26" s="171"/>
      <c r="G26" s="325"/>
      <c r="H26" s="482"/>
      <c r="I26" s="166"/>
      <c r="J26" s="166"/>
      <c r="K26" s="166"/>
      <c r="L26" s="112"/>
    </row>
    <row r="27" spans="2:15" ht="14.25" x14ac:dyDescent="0.15">
      <c r="B27" s="165"/>
      <c r="C27" s="166"/>
      <c r="D27" s="166"/>
      <c r="E27" s="167"/>
      <c r="F27" s="21"/>
      <c r="G27" s="21"/>
      <c r="H27" s="21"/>
      <c r="I27" s="21"/>
      <c r="J27" s="166"/>
      <c r="K27" s="166"/>
      <c r="L27" s="112"/>
    </row>
    <row r="28" spans="2:15" ht="14.25" x14ac:dyDescent="0.15">
      <c r="B28" s="165"/>
      <c r="C28" s="166"/>
      <c r="D28" s="166"/>
      <c r="E28" s="167"/>
      <c r="F28" s="500" t="s">
        <v>651</v>
      </c>
      <c r="G28" s="325"/>
      <c r="H28" s="501">
        <v>1</v>
      </c>
      <c r="I28" s="166" t="s">
        <v>654</v>
      </c>
      <c r="J28" s="166"/>
      <c r="K28" s="166"/>
      <c r="L28" s="112"/>
    </row>
    <row r="29" spans="2:15" ht="14.25" x14ac:dyDescent="0.15">
      <c r="B29" s="165"/>
      <c r="C29" s="166"/>
      <c r="D29" s="166"/>
      <c r="E29" s="167"/>
      <c r="F29" s="21"/>
      <c r="G29" s="21"/>
      <c r="H29" s="20"/>
      <c r="I29" s="21"/>
      <c r="J29" s="166"/>
      <c r="K29" s="166"/>
      <c r="L29" s="112"/>
    </row>
    <row r="30" spans="2:15" ht="14.25" x14ac:dyDescent="0.15">
      <c r="B30" s="165"/>
      <c r="C30" s="171" t="s">
        <v>248</v>
      </c>
      <c r="D30" s="166"/>
      <c r="E30" s="167"/>
      <c r="F30" s="500"/>
      <c r="G30" s="177"/>
      <c r="H30" s="501"/>
      <c r="I30" s="166"/>
      <c r="J30" s="166"/>
      <c r="K30" s="166"/>
      <c r="L30" s="112"/>
    </row>
    <row r="31" spans="2:15" ht="14.25" x14ac:dyDescent="0.15">
      <c r="B31" s="165"/>
      <c r="C31" s="171"/>
      <c r="D31" s="166"/>
      <c r="E31" s="167"/>
      <c r="F31" s="171"/>
      <c r="G31" s="325"/>
      <c r="H31" s="177"/>
      <c r="I31" s="166"/>
      <c r="J31" s="166"/>
      <c r="K31" s="166"/>
      <c r="L31" s="112"/>
    </row>
    <row r="32" spans="2:15" ht="14.25" x14ac:dyDescent="0.15">
      <c r="B32" s="165"/>
      <c r="C32" s="171"/>
      <c r="D32" s="166"/>
      <c r="E32" s="167"/>
      <c r="F32" s="171"/>
      <c r="G32" s="325"/>
      <c r="H32" s="177"/>
      <c r="I32" s="166"/>
      <c r="J32" s="166"/>
      <c r="K32" s="166"/>
      <c r="L32" s="112"/>
    </row>
    <row r="33" spans="2:13" ht="14.25" x14ac:dyDescent="0.15">
      <c r="B33" s="165"/>
      <c r="C33" s="166"/>
      <c r="D33" s="166"/>
      <c r="E33" s="167"/>
      <c r="F33" s="171"/>
      <c r="G33" s="325"/>
      <c r="H33" s="177"/>
      <c r="I33" s="166"/>
      <c r="J33" s="166"/>
      <c r="K33" s="166"/>
      <c r="L33" s="112"/>
    </row>
    <row r="34" spans="2:13" ht="14.25" x14ac:dyDescent="0.15">
      <c r="B34" s="165"/>
      <c r="C34" s="166"/>
      <c r="D34" s="166"/>
      <c r="E34" s="167"/>
      <c r="F34" s="171"/>
      <c r="G34" s="325"/>
      <c r="H34" s="177"/>
      <c r="I34" s="166"/>
      <c r="J34" s="166"/>
      <c r="K34" s="166"/>
      <c r="L34" s="112"/>
    </row>
    <row r="35" spans="2:13" ht="14.25" x14ac:dyDescent="0.15">
      <c r="B35" s="165"/>
      <c r="C35" s="166"/>
      <c r="D35" s="166"/>
      <c r="E35" s="167"/>
      <c r="F35" s="171"/>
      <c r="G35" s="325"/>
      <c r="H35" s="177"/>
      <c r="I35" s="166"/>
      <c r="J35" s="166"/>
      <c r="K35" s="166"/>
      <c r="L35" s="112"/>
    </row>
    <row r="36" spans="2:13" ht="14.25" x14ac:dyDescent="0.15">
      <c r="B36" s="165"/>
      <c r="C36" s="166"/>
      <c r="D36" s="166"/>
      <c r="E36" s="167"/>
      <c r="F36" s="171"/>
      <c r="G36" s="325"/>
      <c r="H36" s="177"/>
      <c r="I36" s="166"/>
      <c r="J36" s="166"/>
      <c r="K36" s="166"/>
      <c r="L36" s="112"/>
    </row>
    <row r="37" spans="2:13" ht="14.25" x14ac:dyDescent="0.15">
      <c r="B37" s="165"/>
      <c r="C37" s="166"/>
      <c r="D37" s="166"/>
      <c r="E37" s="167"/>
      <c r="F37" s="171"/>
      <c r="G37" s="325"/>
      <c r="H37" s="177"/>
      <c r="I37" s="166"/>
      <c r="J37" s="166"/>
      <c r="K37" s="166"/>
      <c r="L37" s="112"/>
    </row>
    <row r="38" spans="2:13" ht="14.25" x14ac:dyDescent="0.15">
      <c r="B38" s="175"/>
      <c r="C38" s="161"/>
      <c r="D38" s="161"/>
      <c r="E38" s="162"/>
      <c r="F38" s="178"/>
      <c r="G38" s="366"/>
      <c r="H38" s="179"/>
      <c r="I38" s="161"/>
      <c r="J38" s="161"/>
      <c r="K38" s="161"/>
      <c r="L38" s="164"/>
    </row>
    <row r="39" spans="2:13" ht="14.25" x14ac:dyDescent="0.15">
      <c r="B39" s="165"/>
      <c r="C39" s="166"/>
      <c r="D39" s="166"/>
      <c r="E39" s="272"/>
      <c r="F39" s="273"/>
      <c r="G39" s="273"/>
      <c r="H39" s="273"/>
      <c r="I39" s="273"/>
      <c r="J39" s="273"/>
      <c r="K39" s="273"/>
      <c r="L39" s="274"/>
    </row>
    <row r="40" spans="2:13" ht="14.25" x14ac:dyDescent="0.15">
      <c r="B40" s="165"/>
      <c r="C40" s="166"/>
      <c r="D40" s="166"/>
      <c r="E40" s="272"/>
      <c r="F40" s="273"/>
      <c r="G40" s="273"/>
      <c r="H40" s="273"/>
      <c r="I40" s="273"/>
      <c r="J40" s="273"/>
      <c r="K40" s="273"/>
      <c r="L40" s="274"/>
    </row>
    <row r="41" spans="2:13" ht="14.25" x14ac:dyDescent="0.15">
      <c r="B41" s="165"/>
      <c r="C41" s="166"/>
      <c r="D41" s="166"/>
      <c r="E41" s="272"/>
      <c r="F41" s="273"/>
      <c r="G41" s="273"/>
      <c r="H41" s="273"/>
      <c r="I41" s="273"/>
      <c r="J41" s="273"/>
      <c r="K41" s="273"/>
      <c r="L41" s="274"/>
    </row>
    <row r="42" spans="2:13" ht="14.25" x14ac:dyDescent="0.15">
      <c r="B42" s="165"/>
      <c r="C42" s="166"/>
      <c r="D42" s="166"/>
      <c r="E42" s="272"/>
      <c r="F42" s="319"/>
      <c r="G42" s="323"/>
      <c r="H42" s="321"/>
      <c r="I42" s="320"/>
      <c r="J42" s="320"/>
      <c r="K42" s="320"/>
      <c r="L42" s="324"/>
      <c r="M42" s="113"/>
    </row>
    <row r="43" spans="2:13" ht="14.25" x14ac:dyDescent="0.15">
      <c r="B43" s="165"/>
      <c r="C43" s="166"/>
      <c r="D43" s="166"/>
      <c r="E43" s="272"/>
      <c r="F43" s="319"/>
      <c r="G43" s="323"/>
      <c r="H43" s="321"/>
      <c r="I43" s="320"/>
      <c r="J43" s="320"/>
      <c r="K43" s="320"/>
      <c r="L43" s="324"/>
      <c r="M43" s="113"/>
    </row>
    <row r="44" spans="2:13" ht="14.25" x14ac:dyDescent="0.15">
      <c r="B44" s="165"/>
      <c r="C44" s="166"/>
      <c r="D44" s="166"/>
      <c r="E44" s="272"/>
      <c r="F44" s="319"/>
      <c r="G44" s="323"/>
      <c r="H44" s="321"/>
      <c r="I44" s="320"/>
      <c r="J44" s="320"/>
      <c r="K44" s="320"/>
      <c r="L44" s="324"/>
      <c r="M44" s="113"/>
    </row>
    <row r="45" spans="2:13" ht="14.25" x14ac:dyDescent="0.15">
      <c r="B45" s="165"/>
      <c r="C45" s="166"/>
      <c r="D45" s="166"/>
      <c r="E45" s="272"/>
      <c r="F45" s="319"/>
      <c r="G45" s="323"/>
      <c r="H45" s="322"/>
      <c r="I45" s="320"/>
      <c r="J45" s="320"/>
      <c r="K45" s="320"/>
      <c r="L45" s="324"/>
      <c r="M45" s="113"/>
    </row>
    <row r="46" spans="2:13" ht="14.25" x14ac:dyDescent="0.15">
      <c r="B46" s="165"/>
      <c r="C46" s="171" t="s">
        <v>249</v>
      </c>
      <c r="D46" s="166"/>
      <c r="E46" s="272"/>
      <c r="F46" s="273"/>
      <c r="G46" s="273"/>
      <c r="H46" s="275"/>
      <c r="I46" s="273"/>
      <c r="J46" s="273"/>
      <c r="K46" s="273"/>
      <c r="L46" s="274"/>
    </row>
    <row r="47" spans="2:13" ht="14.25" x14ac:dyDescent="0.15">
      <c r="B47" s="165"/>
      <c r="C47" s="171"/>
      <c r="D47" s="166"/>
      <c r="E47" s="272"/>
      <c r="F47" s="276"/>
      <c r="G47" s="276"/>
      <c r="H47" s="483"/>
      <c r="I47" s="273"/>
      <c r="J47" s="273"/>
      <c r="K47" s="273"/>
      <c r="L47" s="274"/>
    </row>
    <row r="48" spans="2:13" ht="14.25" x14ac:dyDescent="0.15">
      <c r="B48" s="165"/>
      <c r="C48" s="171"/>
      <c r="D48" s="166"/>
      <c r="E48" s="272"/>
      <c r="F48" s="276"/>
      <c r="G48" s="276"/>
      <c r="H48" s="318"/>
      <c r="I48" s="273"/>
      <c r="J48" s="273"/>
      <c r="K48" s="273"/>
      <c r="L48" s="274"/>
    </row>
    <row r="49" spans="2:12" ht="14.25" x14ac:dyDescent="0.15">
      <c r="B49" s="165"/>
      <c r="C49" s="171"/>
      <c r="D49" s="166"/>
      <c r="E49" s="272"/>
      <c r="F49" s="276"/>
      <c r="G49" s="276"/>
      <c r="H49" s="318"/>
      <c r="I49" s="273"/>
      <c r="J49" s="273"/>
      <c r="K49" s="273"/>
      <c r="L49" s="274"/>
    </row>
    <row r="50" spans="2:12" ht="14.25" x14ac:dyDescent="0.15">
      <c r="B50" s="165"/>
      <c r="C50" s="171"/>
      <c r="D50" s="166"/>
      <c r="E50" s="272"/>
      <c r="F50" s="276"/>
      <c r="G50" s="276"/>
      <c r="H50" s="318"/>
      <c r="I50" s="273"/>
      <c r="J50" s="273"/>
      <c r="K50" s="273"/>
      <c r="L50" s="274"/>
    </row>
    <row r="51" spans="2:12" ht="14.25" x14ac:dyDescent="0.15">
      <c r="B51" s="165"/>
      <c r="C51" s="171"/>
      <c r="D51" s="166"/>
      <c r="E51" s="272"/>
      <c r="F51" s="276"/>
      <c r="G51" s="276"/>
      <c r="H51" s="318"/>
      <c r="I51" s="273"/>
      <c r="J51" s="273"/>
      <c r="K51" s="273"/>
      <c r="L51" s="274"/>
    </row>
    <row r="52" spans="2:12" ht="14.25" x14ac:dyDescent="0.15">
      <c r="B52" s="165"/>
      <c r="C52" s="166"/>
      <c r="D52" s="166"/>
      <c r="E52" s="272"/>
      <c r="F52" s="273"/>
      <c r="G52" s="273"/>
      <c r="H52" s="273"/>
      <c r="I52" s="273"/>
      <c r="J52" s="273"/>
      <c r="K52" s="273"/>
      <c r="L52" s="274"/>
    </row>
    <row r="53" spans="2:12" ht="14.25" x14ac:dyDescent="0.15">
      <c r="B53" s="165"/>
      <c r="C53" s="166"/>
      <c r="D53" s="166"/>
      <c r="E53" s="272"/>
      <c r="F53" s="276"/>
      <c r="G53" s="276"/>
      <c r="H53" s="483"/>
      <c r="I53" s="273"/>
      <c r="J53" s="273"/>
      <c r="K53" s="273"/>
      <c r="L53" s="274"/>
    </row>
    <row r="54" spans="2:12" ht="15" thickBot="1" x14ac:dyDescent="0.2">
      <c r="B54" s="180"/>
      <c r="C54" s="181"/>
      <c r="D54" s="181"/>
      <c r="E54" s="277"/>
      <c r="F54" s="278"/>
      <c r="G54" s="278"/>
      <c r="H54" s="278"/>
      <c r="I54" s="278"/>
      <c r="J54" s="278"/>
      <c r="K54" s="278"/>
      <c r="L54" s="279"/>
    </row>
  </sheetData>
  <mergeCells count="7">
    <mergeCell ref="C2:E2"/>
    <mergeCell ref="G19:H19"/>
    <mergeCell ref="G18:H18"/>
    <mergeCell ref="C11:C12"/>
    <mergeCell ref="F10:H10"/>
    <mergeCell ref="F11:H11"/>
    <mergeCell ref="H12:J12"/>
  </mergeCells>
  <phoneticPr fontId="6"/>
  <printOptions horizontalCentered="1"/>
  <pageMargins left="0.87" right="0.38" top="0.98425196850393704" bottom="0.39370078740157483" header="0" footer="0"/>
  <pageSetup paperSize="9" orientation="portrait" horizontalDpi="400" verticalDpi="4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ransitionEvaluation="1">
    <tabColor rgb="FFFF0000"/>
  </sheetPr>
  <dimension ref="A1:AC144"/>
  <sheetViews>
    <sheetView view="pageBreakPreview" topLeftCell="N1" zoomScaleNormal="90" zoomScaleSheetLayoutView="100" workbookViewId="0">
      <selection activeCell="J6" sqref="J6"/>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4.625" customWidth="1"/>
    <col min="18" max="18" width="12.125" customWidth="1"/>
    <col min="19" max="19" width="4.625" customWidth="1"/>
    <col min="20" max="20" width="10.625" customWidth="1"/>
    <col min="21" max="21" width="15.625" customWidth="1"/>
    <col min="22" max="22" width="8.625" customWidth="1"/>
    <col min="23" max="23" width="16.625" customWidth="1"/>
    <col min="25" max="28" width="9.625" customWidth="1"/>
  </cols>
  <sheetData>
    <row r="1" spans="1:29" x14ac:dyDescent="0.15">
      <c r="D1" t="s">
        <v>307</v>
      </c>
      <c r="F1" t="s">
        <v>308</v>
      </c>
    </row>
    <row r="2" spans="1:29" x14ac:dyDescent="0.15">
      <c r="D2" t="s">
        <v>272</v>
      </c>
      <c r="F2" s="224" t="s">
        <v>267</v>
      </c>
    </row>
    <row r="3" spans="1:29" x14ac:dyDescent="0.15">
      <c r="D3" t="s">
        <v>274</v>
      </c>
      <c r="F3" s="224" t="s">
        <v>271</v>
      </c>
    </row>
    <row r="4" spans="1:29" ht="14.25" thickBot="1" x14ac:dyDescent="0.2">
      <c r="C4" t="s">
        <v>214</v>
      </c>
      <c r="D4" t="s">
        <v>273</v>
      </c>
      <c r="F4" s="224" t="s">
        <v>268</v>
      </c>
      <c r="O4" t="s">
        <v>214</v>
      </c>
      <c r="AB4" t="s">
        <v>89</v>
      </c>
    </row>
    <row r="5" spans="1:29" x14ac:dyDescent="0.15">
      <c r="B5" s="682" t="s">
        <v>83</v>
      </c>
      <c r="N5" t="s">
        <v>215</v>
      </c>
      <c r="O5" s="16"/>
      <c r="P5" s="17"/>
      <c r="Q5" s="17"/>
      <c r="R5" s="18"/>
      <c r="S5" s="17"/>
      <c r="T5" s="18"/>
      <c r="U5" s="18"/>
      <c r="V5" s="18"/>
      <c r="W5" s="19"/>
      <c r="Y5" s="682" t="s">
        <v>216</v>
      </c>
      <c r="Z5">
        <f ca="1">SUM(INDIRECT(AC$6))</f>
        <v>0</v>
      </c>
      <c r="AA5">
        <v>1</v>
      </c>
      <c r="AB5" t="s">
        <v>219</v>
      </c>
      <c r="AC5" t="s">
        <v>217</v>
      </c>
    </row>
    <row r="6" spans="1:29" ht="21" customHeight="1" x14ac:dyDescent="0.2">
      <c r="N6" s="284"/>
      <c r="O6" s="457" t="s">
        <v>811</v>
      </c>
      <c r="P6" s="25"/>
      <c r="Q6" s="25"/>
      <c r="R6" s="25"/>
      <c r="S6" s="25"/>
      <c r="T6" s="25"/>
      <c r="U6" s="25"/>
      <c r="V6" s="25"/>
      <c r="W6" s="26"/>
      <c r="Y6" s="682" t="s">
        <v>218</v>
      </c>
      <c r="Z6">
        <f ca="1">SUM(INDIRECT(AC$7))</f>
        <v>95</v>
      </c>
      <c r="AA6">
        <v>2</v>
      </c>
      <c r="AB6" t="s">
        <v>104</v>
      </c>
      <c r="AC6" t="str">
        <f>"AA10..AA"&amp;FIXED(Z7,0,TRUE)</f>
        <v>AA10..AA30</v>
      </c>
    </row>
    <row r="7" spans="1:29" ht="18.75" x14ac:dyDescent="0.2">
      <c r="C7" s="456" t="s">
        <v>424</v>
      </c>
      <c r="D7" s="101"/>
      <c r="E7" s="101"/>
      <c r="F7" s="101"/>
      <c r="G7" s="101"/>
      <c r="H7" s="101"/>
      <c r="I7" s="101"/>
      <c r="N7" s="285"/>
      <c r="O7" s="283"/>
      <c r="P7" s="20"/>
      <c r="Q7" s="458" t="str">
        <f ca="1">IF(OR(AB8=0,TRUNC(Z5,-3)+TRUNC(Z6,-3)=0),"",TRUNC(Z5,-3))</f>
        <v/>
      </c>
      <c r="R7" s="21"/>
      <c r="S7" s="20"/>
      <c r="T7" s="21"/>
      <c r="U7" s="21"/>
      <c r="V7" s="21"/>
      <c r="W7" s="699" t="str">
        <f>'直工 (矢田)'!J6</f>
        <v>補助</v>
      </c>
      <c r="Y7" s="682" t="s">
        <v>221</v>
      </c>
      <c r="Z7" s="529">
        <v>30</v>
      </c>
      <c r="AA7">
        <v>3</v>
      </c>
      <c r="AB7" t="s">
        <v>230</v>
      </c>
      <c r="AC7" t="str">
        <f>"Y10..Y"&amp;FIXED(Z7,0,TRUE)</f>
        <v>Y10..Y30</v>
      </c>
    </row>
    <row r="8" spans="1:29" ht="18.75" customHeight="1" thickBot="1" x14ac:dyDescent="0.25">
      <c r="A8" t="b">
        <f>SUM(F13:F73)&gt;0</f>
        <v>1</v>
      </c>
      <c r="B8">
        <f ca="1">SUM(INDIRECT(AC8))</f>
        <v>1</v>
      </c>
      <c r="I8" s="111" t="str">
        <f ca="1">"( "&amp;FIXED(A8,0)&amp;" ／ "&amp;FIXED(B$8,0)&amp;" )"</f>
        <v>( 1 ／ 1 )</v>
      </c>
      <c r="N8" s="285"/>
      <c r="O8" s="283"/>
      <c r="P8" s="20"/>
      <c r="Q8" s="459">
        <f ca="1">U31</f>
        <v>0</v>
      </c>
      <c r="R8" s="21"/>
      <c r="S8" s="20"/>
      <c r="T8" s="21"/>
      <c r="U8" s="21"/>
      <c r="V8" s="21"/>
      <c r="W8" s="685" t="str">
        <f>'直工 (矢田)'!J7</f>
        <v>矢田地区中継ポンプ施設</v>
      </c>
      <c r="AB8">
        <f>鏡!H2-1</f>
        <v>0</v>
      </c>
      <c r="AC8" t="str">
        <f>"A5..A"&amp;FIXED(Z7,0,TRUE)</f>
        <v>A5..A30</v>
      </c>
    </row>
    <row r="9" spans="1:29" x14ac:dyDescent="0.15">
      <c r="C9" s="16"/>
      <c r="D9" s="102"/>
      <c r="E9" s="102"/>
      <c r="F9" s="18"/>
      <c r="G9" s="102"/>
      <c r="H9" s="102"/>
      <c r="I9" s="48"/>
      <c r="O9" s="756" t="s">
        <v>258</v>
      </c>
      <c r="P9" s="4"/>
      <c r="Q9" s="4"/>
      <c r="R9" s="5"/>
      <c r="S9" s="4"/>
      <c r="T9" s="648"/>
      <c r="U9" s="648"/>
      <c r="V9" s="755" t="s">
        <v>257</v>
      </c>
      <c r="W9" s="105"/>
    </row>
    <row r="10" spans="1:29"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Y10" t="str">
        <f>IF(AB8=0,"当初","出来高")</f>
        <v>当初</v>
      </c>
      <c r="AA10" t="s">
        <v>216</v>
      </c>
    </row>
    <row r="11" spans="1:29" ht="14.25" thickBot="1" x14ac:dyDescent="0.2">
      <c r="C11" s="71"/>
      <c r="D11" s="40"/>
      <c r="E11" s="40"/>
      <c r="F11" s="36"/>
      <c r="G11" s="40"/>
      <c r="H11" s="40"/>
      <c r="I11" s="52"/>
      <c r="K11" s="1" t="s">
        <v>259</v>
      </c>
      <c r="O11" s="758"/>
      <c r="P11" s="39"/>
      <c r="Q11" s="39"/>
      <c r="R11" s="40"/>
      <c r="S11" s="39"/>
      <c r="T11" s="56" t="s">
        <v>96</v>
      </c>
      <c r="U11" s="56" t="s">
        <v>96</v>
      </c>
      <c r="V11" s="750"/>
      <c r="W11" s="52"/>
    </row>
    <row r="12" spans="1:29" ht="15" customHeight="1" thickTop="1" x14ac:dyDescent="0.15">
      <c r="C12" s="182"/>
      <c r="D12" s="210"/>
      <c r="E12" s="184"/>
      <c r="F12" s="225"/>
      <c r="G12" s="297" t="str">
        <f ca="1">IF(OR(AB$8=0,L12="b"),"",IF(L12="l",0,"("&amp;FIXED(-F12,K13,0)&amp;M12))</f>
        <v/>
      </c>
      <c r="H12" s="183"/>
      <c r="I12" s="185"/>
      <c r="L12" t="str">
        <f t="shared" ref="L12:L73" ca="1" si="0">CELL("type",F12)</f>
        <v>b</v>
      </c>
      <c r="M12" t="str">
        <f>")"&amp;REPT(" ",2-K13)&amp;IF(K13=0," ","")</f>
        <v xml:space="preserve">)   </v>
      </c>
      <c r="O12" s="253"/>
      <c r="P12" s="207">
        <f>D12</f>
        <v>0</v>
      </c>
      <c r="Q12" s="207">
        <f>E12</f>
        <v>0</v>
      </c>
      <c r="R12" s="300" t="str">
        <f t="shared" ref="R12:R27" ca="1" si="1">G12</f>
        <v/>
      </c>
      <c r="S12" s="304"/>
      <c r="T12" s="144"/>
      <c r="U12" s="206">
        <f ca="1">IF(OR(AB$8=0,SUM(Y13:AB13)=0),1,IF(L12="l","",SUM(AA13:AB13)))</f>
        <v>1</v>
      </c>
      <c r="V12" s="147"/>
      <c r="W12" s="50" t="s">
        <v>816</v>
      </c>
    </row>
    <row r="13" spans="1:29" ht="15" customHeight="1" x14ac:dyDescent="0.15">
      <c r="C13" s="186" t="s">
        <v>50</v>
      </c>
      <c r="D13" s="205" t="s">
        <v>40</v>
      </c>
      <c r="E13" s="188" t="s">
        <v>778</v>
      </c>
      <c r="F13" s="226">
        <v>1</v>
      </c>
      <c r="G13" s="296" t="str">
        <f ca="1">IF(L13="b","",IF(L13="l",0,FIXED(F13,K13,0)&amp;M13))</f>
        <v xml:space="preserve">1    </v>
      </c>
      <c r="H13" s="187" t="s">
        <v>773</v>
      </c>
      <c r="I13" s="189"/>
      <c r="K13" s="215"/>
      <c r="L13" t="str">
        <f t="shared" ca="1" si="0"/>
        <v>v</v>
      </c>
      <c r="M13" t="str">
        <f>REPT(" ",3-K13)&amp;IF(K13=0," ","")</f>
        <v xml:space="preserve">    </v>
      </c>
      <c r="O13" s="194"/>
      <c r="P13" s="208" t="s">
        <v>812</v>
      </c>
      <c r="Q13" s="208"/>
      <c r="R13" s="301" t="str">
        <f t="shared" ca="1" si="1"/>
        <v xml:space="preserve">1    </v>
      </c>
      <c r="S13" s="305" t="str">
        <f>H13</f>
        <v>式</v>
      </c>
      <c r="T13" s="688"/>
      <c r="U13" s="216">
        <f ca="1">IF(L13="l","",IF(D13+F13&gt;0,SUM(Y13:Z13),-1))</f>
        <v>95</v>
      </c>
      <c r="V13" s="148"/>
      <c r="W13" s="687" t="s">
        <v>789</v>
      </c>
      <c r="Y13" s="114">
        <v>95</v>
      </c>
      <c r="AA13">
        <f ca="1">IF(OR(AB$8=0,L12="l",D13&gt;0,U13=-1),0,IF(L12="b",-U13,TRUNC(F12*T13)))</f>
        <v>0</v>
      </c>
    </row>
    <row r="14" spans="1:29" ht="15" customHeight="1" x14ac:dyDescent="0.15">
      <c r="C14" s="182"/>
      <c r="D14" s="210"/>
      <c r="E14" s="184"/>
      <c r="F14" s="225"/>
      <c r="G14" s="297" t="str">
        <f ca="1">IF(OR(AB$8=0,L14="b"),"",IF(L14="l",0,"("&amp;FIXED(-F14,K15,0)&amp;M14))</f>
        <v/>
      </c>
      <c r="H14" s="183"/>
      <c r="I14" s="185"/>
      <c r="L14" t="str">
        <f t="shared" ca="1" si="0"/>
        <v>b</v>
      </c>
      <c r="M14" t="str">
        <f>")"&amp;REPT(" ",2-K15)&amp;IF(K15=0," ","")</f>
        <v xml:space="preserve">)   </v>
      </c>
      <c r="O14" s="194"/>
      <c r="P14" s="207"/>
      <c r="Q14" s="207"/>
      <c r="R14" s="300"/>
      <c r="S14" s="304"/>
      <c r="T14" s="144"/>
      <c r="U14" s="206"/>
      <c r="V14" s="147"/>
      <c r="W14" s="50"/>
    </row>
    <row r="15" spans="1:29" ht="15" customHeight="1" x14ac:dyDescent="0.15">
      <c r="C15" s="186"/>
      <c r="D15" s="205" t="s">
        <v>41</v>
      </c>
      <c r="E15" s="188" t="s">
        <v>778</v>
      </c>
      <c r="F15" s="226">
        <v>1</v>
      </c>
      <c r="G15" s="296" t="str">
        <f ca="1">IF(L15="b","",IF(L15="l",0,FIXED(F15,K15,0)&amp;M15))</f>
        <v xml:space="preserve">1    </v>
      </c>
      <c r="H15" s="187" t="s">
        <v>773</v>
      </c>
      <c r="I15" s="189"/>
      <c r="K15" s="215"/>
      <c r="L15" t="str">
        <f t="shared" ca="1" si="0"/>
        <v>v</v>
      </c>
      <c r="M15" t="str">
        <f>REPT(" ",3-K15)&amp;IF(K15=0," ","")</f>
        <v xml:space="preserve">    </v>
      </c>
      <c r="O15" s="194"/>
      <c r="P15" s="208"/>
      <c r="Q15" s="208"/>
      <c r="R15" s="301"/>
      <c r="S15" s="305"/>
      <c r="T15" s="145"/>
      <c r="U15" s="216"/>
      <c r="V15" s="148"/>
      <c r="W15" s="660"/>
      <c r="Y15" s="114">
        <f>IF(D15&gt;0,0,TRUNC(F15*T15))</f>
        <v>0</v>
      </c>
      <c r="Z15" t="b">
        <f>IF($D15=1,SUM(Y$13:Y13)-SUM(Z$13:Z13),IF($D15=2,$Z$6,IF($D15=3,TRUNC($Z$6,-3))))</f>
        <v>0</v>
      </c>
      <c r="AA15">
        <f ca="1">IF(OR(AB$8=0,L14="l",D15&gt;0,U15=-1),0,IF(L14="b",-U15,TRUNC(F14*T15)))</f>
        <v>0</v>
      </c>
      <c r="AB15" t="b">
        <f>IF($D15=1,SUM(AA$13:AA13)-SUM(AB$13:AB13),IF($D15=2,$Z$5,IF($D15=3,TRUNC($Z$5,-3))))</f>
        <v>0</v>
      </c>
    </row>
    <row r="16" spans="1:29" ht="15" customHeight="1" x14ac:dyDescent="0.15">
      <c r="C16" s="182"/>
      <c r="D16" s="210"/>
      <c r="E16" s="184"/>
      <c r="F16" s="225"/>
      <c r="G16" s="297" t="str">
        <f ca="1">IF(OR(AB$8=0,L16="b"),"",IF(L16="l",0,"("&amp;FIXED(-F16,K17,0)&amp;M16))</f>
        <v/>
      </c>
      <c r="H16" s="183"/>
      <c r="I16" s="185"/>
      <c r="L16" t="str">
        <f t="shared" ca="1" si="0"/>
        <v>b</v>
      </c>
      <c r="M16" t="str">
        <f>")"&amp;REPT(" ",2-K17)&amp;IF(K17=0," ","")</f>
        <v xml:space="preserve">) </v>
      </c>
      <c r="O16" s="194"/>
      <c r="P16" s="207">
        <f>D16</f>
        <v>0</v>
      </c>
      <c r="Q16" s="207">
        <f t="shared" ref="Q16:Q30" si="2">E16</f>
        <v>0</v>
      </c>
      <c r="R16" s="300" t="str">
        <f t="shared" ca="1" si="1"/>
        <v/>
      </c>
      <c r="S16" s="304"/>
      <c r="T16" s="144"/>
      <c r="U16" s="206">
        <f ca="1">IF(OR(AB$8=0,SUM(Y17:AB17)=0),1,IF(L16="l","",SUM(AA17:AB17)))</f>
        <v>1</v>
      </c>
      <c r="V16" s="147"/>
      <c r="W16" s="50"/>
    </row>
    <row r="17" spans="3:28" ht="15" customHeight="1" x14ac:dyDescent="0.15">
      <c r="C17" s="186"/>
      <c r="D17" s="205"/>
      <c r="E17" s="188"/>
      <c r="F17" s="226"/>
      <c r="G17" s="296" t="str">
        <f ca="1">IF(L17="b","",IF(L17="l",0,FIXED(F17,K17,0)&amp;M17))</f>
        <v/>
      </c>
      <c r="H17" s="187"/>
      <c r="I17" s="189"/>
      <c r="K17" s="215">
        <v>1</v>
      </c>
      <c r="L17" t="str">
        <f t="shared" ca="1" si="0"/>
        <v>b</v>
      </c>
      <c r="M17" t="str">
        <f>REPT(" ",3-K17)&amp;IF(K17=0," ","")</f>
        <v xml:space="preserve">  </v>
      </c>
      <c r="O17" s="194"/>
      <c r="P17" s="208">
        <f>IF(ISNUMBER(D17),LOOKUP(D17,$AA$5:$AB$7),D17)</f>
        <v>0</v>
      </c>
      <c r="Q17" s="208">
        <f t="shared" si="2"/>
        <v>0</v>
      </c>
      <c r="R17" s="301" t="str">
        <f t="shared" ca="1" si="1"/>
        <v/>
      </c>
      <c r="S17" s="305">
        <f>H17</f>
        <v>0</v>
      </c>
      <c r="T17" s="145"/>
      <c r="U17" s="216">
        <f ca="1">IF(L17="l","",IF(D17+F17&gt;0,SUM(Y17:Z17),-1))</f>
        <v>-1</v>
      </c>
      <c r="V17" s="148"/>
      <c r="W17" s="108"/>
      <c r="Y17" s="114">
        <f>IF(D17&gt;0,0,TRUNC(F17*T17))</f>
        <v>0</v>
      </c>
      <c r="Z17" t="b">
        <f>IF($D17=1,SUM(Y$13:Y15)-SUM(Z$13:Z15),IF($D17=2,$Z$6,IF($D17=3,TRUNC($Z$6,-3))))</f>
        <v>0</v>
      </c>
      <c r="AA17">
        <f ca="1">IF(OR(AB$8=0,L16="l",D17&gt;0,U17=-1),0,IF(L16="b",-U17,TRUNC(F16*T17)))</f>
        <v>0</v>
      </c>
      <c r="AB17" t="b">
        <f>IF($D17=1,SUM(AA$13:AA15)-SUM(AB$13:AB15),IF($D17=2,$Z$5,IF($D17=3,TRUNC($Z$5,-3))))</f>
        <v>0</v>
      </c>
    </row>
    <row r="18" spans="3:28" ht="15" customHeight="1" x14ac:dyDescent="0.15">
      <c r="C18" s="182"/>
      <c r="D18" s="210"/>
      <c r="E18" s="184"/>
      <c r="F18" s="225"/>
      <c r="G18" s="297" t="str">
        <f ca="1">IF(OR(AB$8=0,L18="b"),"",IF(L18="l",0,"("&amp;FIXED(-F18,K19,0)&amp;M18))</f>
        <v/>
      </c>
      <c r="H18" s="183"/>
      <c r="I18" s="185"/>
      <c r="L18" t="str">
        <f t="shared" ca="1" si="0"/>
        <v>b</v>
      </c>
      <c r="M18" t="str">
        <f>")"&amp;REPT(" ",2-K19)&amp;IF(K19=0," ","")</f>
        <v xml:space="preserve">) </v>
      </c>
      <c r="O18" s="194"/>
      <c r="P18" s="207">
        <f>D18</f>
        <v>0</v>
      </c>
      <c r="Q18" s="207">
        <f t="shared" si="2"/>
        <v>0</v>
      </c>
      <c r="R18" s="300" t="str">
        <f t="shared" ca="1" si="1"/>
        <v/>
      </c>
      <c r="S18" s="304"/>
      <c r="T18" s="144"/>
      <c r="U18" s="206">
        <f ca="1">IF(OR(AB$8=0,SUM(Y19:AB19)=0),1,IF(L18="l","",SUM(AA19:AB19)))</f>
        <v>1</v>
      </c>
      <c r="V18" s="147"/>
      <c r="W18" s="50"/>
    </row>
    <row r="19" spans="3:28" ht="15" customHeight="1" x14ac:dyDescent="0.15">
      <c r="C19" s="186"/>
      <c r="D19" s="205"/>
      <c r="E19" s="188"/>
      <c r="F19" s="226"/>
      <c r="G19" s="296" t="str">
        <f ca="1">IF(L19="b","",IF(L19="l",0,FIXED(F19,K19,0)&amp;M19))</f>
        <v/>
      </c>
      <c r="H19" s="187"/>
      <c r="I19" s="189"/>
      <c r="K19" s="215">
        <v>1</v>
      </c>
      <c r="L19" t="str">
        <f t="shared" ca="1" si="0"/>
        <v>b</v>
      </c>
      <c r="M19" t="str">
        <f>REPT(" ",3-K19)&amp;IF(K19=0," ","")</f>
        <v xml:space="preserve">  </v>
      </c>
      <c r="O19" s="194"/>
      <c r="P19" s="208">
        <f>IF(ISNUMBER(D19),LOOKUP(D19,$AA$5:$AB$7),D19)</f>
        <v>0</v>
      </c>
      <c r="Q19" s="208">
        <f t="shared" si="2"/>
        <v>0</v>
      </c>
      <c r="R19" s="301" t="str">
        <f t="shared" ca="1" si="1"/>
        <v/>
      </c>
      <c r="S19" s="305">
        <f>H19</f>
        <v>0</v>
      </c>
      <c r="T19" s="145"/>
      <c r="U19" s="216">
        <f ca="1">IF(L19="l","",IF(D19+F19&gt;0,SUM(Y19:Z19),-1))</f>
        <v>-1</v>
      </c>
      <c r="V19" s="148"/>
      <c r="W19" s="107"/>
      <c r="Y19" s="114">
        <f>IF(D19&gt;0,0,TRUNC(F19*T19))</f>
        <v>0</v>
      </c>
      <c r="Z19" t="b">
        <f>IF($D19=1,SUM(Y$13:Y17)-SUM(Z$13:Z17),IF($D19=2,$Z$6,IF($D19=3,TRUNC($Z$6,-3))))</f>
        <v>0</v>
      </c>
      <c r="AA19">
        <f ca="1">IF(OR(AB$8=0,L18="l",D19&gt;0,U19=-1),0,IF(L18="b",-U19,TRUNC(F18*T19)))</f>
        <v>0</v>
      </c>
      <c r="AB19" t="b">
        <f>IF($D19=1,SUM(AA$13:AA17)-SUM(AB$13:AB17),IF($D19=2,$Z$5,IF($D19=3,TRUNC($Z$5,-3))))</f>
        <v>0</v>
      </c>
    </row>
    <row r="20" spans="3:28" ht="15" customHeight="1" x14ac:dyDescent="0.15">
      <c r="C20" s="182"/>
      <c r="D20" s="210"/>
      <c r="E20" s="184"/>
      <c r="F20" s="225"/>
      <c r="G20" s="297" t="str">
        <f ca="1">IF(OR(AB$8=0,L20="b"),"",IF(L20="l",0,"("&amp;FIXED(-F20,K21,0)&amp;M20))</f>
        <v/>
      </c>
      <c r="H20" s="183"/>
      <c r="I20" s="185"/>
      <c r="L20" t="str">
        <f t="shared" ca="1" si="0"/>
        <v>b</v>
      </c>
      <c r="M20" t="str">
        <f>")"&amp;REPT(" ",2-K21)&amp;IF(K21=0," ","")</f>
        <v xml:space="preserve">) </v>
      </c>
      <c r="O20" s="194"/>
      <c r="P20" s="207">
        <f>D20</f>
        <v>0</v>
      </c>
      <c r="Q20" s="207">
        <f t="shared" si="2"/>
        <v>0</v>
      </c>
      <c r="R20" s="300" t="str">
        <f t="shared" ca="1" si="1"/>
        <v/>
      </c>
      <c r="S20" s="304"/>
      <c r="T20" s="144"/>
      <c r="U20" s="206">
        <f ca="1">IF(OR(AB$8=0,SUM(Y21:AB21)=0),1,IF(L20="l","",SUM(AA21:AB21)))</f>
        <v>1</v>
      </c>
      <c r="V20" s="147"/>
      <c r="W20" s="50"/>
    </row>
    <row r="21" spans="3:28" ht="15" customHeight="1" x14ac:dyDescent="0.15">
      <c r="C21" s="186"/>
      <c r="D21" s="205"/>
      <c r="E21" s="188"/>
      <c r="F21" s="226"/>
      <c r="G21" s="296" t="str">
        <f ca="1">IF(L21="b","",IF(L21="l",0,FIXED(F21,K21,0)&amp;M21))</f>
        <v/>
      </c>
      <c r="H21" s="187"/>
      <c r="I21" s="189"/>
      <c r="K21" s="215">
        <v>1</v>
      </c>
      <c r="L21" t="str">
        <f t="shared" ca="1" si="0"/>
        <v>b</v>
      </c>
      <c r="M21" t="str">
        <f>REPT(" ",3-K21)&amp;IF(K21=0," ","")</f>
        <v xml:space="preserve">  </v>
      </c>
      <c r="O21" s="194"/>
      <c r="P21" s="208">
        <f>IF(ISNUMBER(D21),LOOKUP(D21,$AA$5:$AB$7),D21)</f>
        <v>0</v>
      </c>
      <c r="Q21" s="208">
        <f t="shared" si="2"/>
        <v>0</v>
      </c>
      <c r="R21" s="301" t="str">
        <f t="shared" ca="1" si="1"/>
        <v/>
      </c>
      <c r="S21" s="305">
        <f>H21</f>
        <v>0</v>
      </c>
      <c r="T21" s="145"/>
      <c r="U21" s="216">
        <f ca="1">IF(L21="l","",IF(D21+F21&gt;0,SUM(Y21:Z21),-1))</f>
        <v>-1</v>
      </c>
      <c r="V21" s="148"/>
      <c r="W21" s="547"/>
      <c r="Y21" s="114">
        <f>IF(D21&gt;0,0,TRUNC(F21*T21))</f>
        <v>0</v>
      </c>
      <c r="Z21" t="b">
        <f>IF($D21=1,SUM(Y$13:Y19)-SUM(Z$13:Z19),IF($D21=2,$Z$6,IF($D21=3,TRUNC($Z$6,-3))))</f>
        <v>0</v>
      </c>
      <c r="AA21">
        <f ca="1">IF(OR(AB$8=0,L20="l",D21&gt;0,U21=-1),0,IF(L20="b",-U21,TRUNC(F20*T21)))</f>
        <v>0</v>
      </c>
      <c r="AB21" t="b">
        <f>IF($D21=1,SUM(AA$13:AA19)-SUM(AB$13:AB19),IF($D21=2,$Z$5,IF($D21=3,TRUNC($Z$5,-3))))</f>
        <v>0</v>
      </c>
    </row>
    <row r="22" spans="3:28" ht="15" customHeight="1" x14ac:dyDescent="0.15">
      <c r="C22" s="182"/>
      <c r="D22" s="210"/>
      <c r="E22" s="184"/>
      <c r="F22" s="225"/>
      <c r="G22" s="297" t="str">
        <f ca="1">IF(OR(AB$8=0,L22="b"),"",IF(L22="l",0,"("&amp;FIXED(-F22,K23,0)&amp;M22))</f>
        <v/>
      </c>
      <c r="H22" s="183"/>
      <c r="I22" s="185"/>
      <c r="L22" t="str">
        <f t="shared" ca="1" si="0"/>
        <v>b</v>
      </c>
      <c r="M22" t="str">
        <f>")"&amp;REPT(" ",2-K23)&amp;IF(K23=0," ","")</f>
        <v xml:space="preserve">) </v>
      </c>
      <c r="O22" s="194"/>
      <c r="P22" s="207">
        <f>D22</f>
        <v>0</v>
      </c>
      <c r="Q22" s="207">
        <f t="shared" si="2"/>
        <v>0</v>
      </c>
      <c r="R22" s="300" t="str">
        <f t="shared" ca="1" si="1"/>
        <v/>
      </c>
      <c r="S22" s="304"/>
      <c r="T22" s="144"/>
      <c r="U22" s="206">
        <f ca="1">IF(OR(AB$8=0,SUM(Y23:AB23)=0),1,IF(L22="l","",SUM(AA23:AB23)))</f>
        <v>1</v>
      </c>
      <c r="V22" s="147"/>
      <c r="W22" s="50"/>
    </row>
    <row r="23" spans="3:28" ht="15" customHeight="1" x14ac:dyDescent="0.15">
      <c r="C23" s="186"/>
      <c r="D23" s="205"/>
      <c r="E23" s="188"/>
      <c r="F23" s="226"/>
      <c r="G23" s="296" t="str">
        <f ca="1">IF(L23="b","",IF(L23="l",0,FIXED(F23,K23,0)&amp;M23))</f>
        <v/>
      </c>
      <c r="H23" s="187"/>
      <c r="I23" s="189"/>
      <c r="K23" s="215">
        <v>1</v>
      </c>
      <c r="L23" t="str">
        <f t="shared" ca="1" si="0"/>
        <v>b</v>
      </c>
      <c r="M23" t="str">
        <f>REPT(" ",3-K23)&amp;IF(K23=0," ","")</f>
        <v xml:space="preserve">  </v>
      </c>
      <c r="O23" s="194"/>
      <c r="P23" s="208">
        <f>IF(ISNUMBER(D23),LOOKUP(D23,$AA$5:$AB$7),D23)</f>
        <v>0</v>
      </c>
      <c r="Q23" s="208">
        <f t="shared" si="2"/>
        <v>0</v>
      </c>
      <c r="R23" s="301" t="str">
        <f t="shared" ca="1" si="1"/>
        <v/>
      </c>
      <c r="S23" s="305">
        <f>H23</f>
        <v>0</v>
      </c>
      <c r="T23" s="145"/>
      <c r="U23" s="216">
        <f ca="1">IF(L23="l","",IF(D23+F23&gt;0,SUM(Y23:Z23),-1))</f>
        <v>-1</v>
      </c>
      <c r="V23" s="148"/>
      <c r="W23" s="547"/>
      <c r="Y23" s="114">
        <f>IF(D23&gt;0,0,TRUNC(F23*T23))</f>
        <v>0</v>
      </c>
      <c r="Z23" t="b">
        <f>IF($D23=1,SUM(Y$13:Y21)-SUM(Z$13:Z21),IF($D23=2,$Z$6,IF($D23=3,TRUNC($Z$6,-3))))</f>
        <v>0</v>
      </c>
      <c r="AA23">
        <f ca="1">IF(OR(AB$8=0,L22="l",D23&gt;0,U23=-1),0,IF(L22="b",-U23,TRUNC(F22*T23)))</f>
        <v>0</v>
      </c>
      <c r="AB23" t="b">
        <f>IF($D23=1,SUM(AA$13:AA21)-SUM(AB$13:AB21),IF($D23=2,$Z$5,IF($D23=3,TRUNC($Z$5,-3))))</f>
        <v>0</v>
      </c>
    </row>
    <row r="24" spans="3:28" ht="15" customHeight="1" x14ac:dyDescent="0.15">
      <c r="C24" s="182"/>
      <c r="D24" s="210"/>
      <c r="E24" s="184"/>
      <c r="F24" s="225"/>
      <c r="G24" s="297" t="str">
        <f ca="1">IF(OR(AB$8=0,L24="b"),"",IF(L24="l",0,"("&amp;FIXED(-F24,K25,0)&amp;M24))</f>
        <v/>
      </c>
      <c r="H24" s="183"/>
      <c r="I24" s="185"/>
      <c r="L24" t="str">
        <f t="shared" ca="1" si="0"/>
        <v>b</v>
      </c>
      <c r="M24" t="str">
        <f>")"&amp;REPT(" ",2-K25)&amp;IF(K25=0," ","")</f>
        <v xml:space="preserve">)   </v>
      </c>
      <c r="O24" s="194"/>
      <c r="P24" s="207">
        <f>D24</f>
        <v>0</v>
      </c>
      <c r="Q24" s="207">
        <f t="shared" si="2"/>
        <v>0</v>
      </c>
      <c r="R24" s="300" t="str">
        <f t="shared" ca="1" si="1"/>
        <v/>
      </c>
      <c r="S24" s="304"/>
      <c r="T24" s="144"/>
      <c r="U24" s="206">
        <f ca="1">IF(OR(AB$8=0,SUM(Y25:AB25)=0),1,IF(L24="l","",SUM(AA25:AB25)))</f>
        <v>1</v>
      </c>
      <c r="V24" s="372"/>
      <c r="W24" s="50"/>
    </row>
    <row r="25" spans="3:28" ht="15" customHeight="1" x14ac:dyDescent="0.15">
      <c r="C25" s="186"/>
      <c r="D25" s="205"/>
      <c r="E25" s="188"/>
      <c r="F25" s="226"/>
      <c r="G25" s="296" t="str">
        <f ca="1">IF(L25="b","",IF(L25="l",0,FIXED(F25,K25,0)&amp;M25))</f>
        <v/>
      </c>
      <c r="H25" s="187"/>
      <c r="I25" s="189"/>
      <c r="K25" s="215"/>
      <c r="L25" t="str">
        <f t="shared" ca="1" si="0"/>
        <v>b</v>
      </c>
      <c r="M25" t="str">
        <f>REPT(" ",3-K25)&amp;IF(K25=0," ","")</f>
        <v xml:space="preserve">    </v>
      </c>
      <c r="O25" s="194"/>
      <c r="P25" s="208">
        <f>IF(ISNUMBER(D25),LOOKUP(D25,$AA$5:$AB$7),D25)</f>
        <v>0</v>
      </c>
      <c r="Q25" s="208">
        <f t="shared" si="2"/>
        <v>0</v>
      </c>
      <c r="R25" s="301" t="str">
        <f t="shared" ca="1" si="1"/>
        <v/>
      </c>
      <c r="S25" s="305">
        <f>H25</f>
        <v>0</v>
      </c>
      <c r="T25" s="145"/>
      <c r="U25" s="216">
        <f ca="1">IF(L25="l","",IF(D25+F25&gt;0,SUM(Y25:Z25),-1))</f>
        <v>-1</v>
      </c>
      <c r="V25" s="373"/>
      <c r="W25" s="107"/>
      <c r="Y25" s="114">
        <f>IF(D25&gt;0,0,TRUNC(F25*T25))</f>
        <v>0</v>
      </c>
      <c r="Z25" t="b">
        <f>IF($D25=1,SUM(Y$13:Y23)-SUM(Z$13:Z23),IF($D25=2,$Z$6,IF($D25=3,TRUNC($Z$6,-3))))</f>
        <v>0</v>
      </c>
      <c r="AA25">
        <f ca="1">IF(OR(AB$8=0,L24="l",D25&gt;0,U25=-1),0,IF(L24="b",-U25,TRUNC(F24*T25)))</f>
        <v>0</v>
      </c>
      <c r="AB25" t="b">
        <f>IF($D25=1,SUM(AA$13:AA23)-SUM(AB$13:AB23),IF($D25=2,$Z$5,IF($D25=3,TRUNC($Z$5,-3))))</f>
        <v>0</v>
      </c>
    </row>
    <row r="26" spans="3:28" ht="15" customHeight="1" x14ac:dyDescent="0.15">
      <c r="C26" s="182"/>
      <c r="D26" s="210"/>
      <c r="E26" s="184"/>
      <c r="F26" s="225"/>
      <c r="G26" s="297" t="str">
        <f ca="1">IF(OR(AB$8=0,L26="b"),"",IF(L26="l",0,"("&amp;FIXED(-F26,K27,0)&amp;M26))</f>
        <v/>
      </c>
      <c r="H26" s="183"/>
      <c r="I26" s="185"/>
      <c r="L26" t="str">
        <f t="shared" ca="1" si="0"/>
        <v>b</v>
      </c>
      <c r="M26" t="str">
        <f>")"&amp;REPT(" ",2-K27)&amp;IF(K27=0," ","")</f>
        <v xml:space="preserve">)   </v>
      </c>
      <c r="O26" s="194"/>
      <c r="P26" s="207">
        <f>D26</f>
        <v>0</v>
      </c>
      <c r="Q26" s="207">
        <f t="shared" si="2"/>
        <v>0</v>
      </c>
      <c r="R26" s="300" t="str">
        <f t="shared" ca="1" si="1"/>
        <v/>
      </c>
      <c r="S26" s="304"/>
      <c r="T26" s="144"/>
      <c r="U26" s="206">
        <f ca="1">IF(OR(AB$8=0,SUM(Y27:AB27)=0),1,IF(L26="l","",SUM(AA27:AB27)))</f>
        <v>1</v>
      </c>
      <c r="V26" s="372"/>
      <c r="W26" s="50"/>
    </row>
    <row r="27" spans="3:28" ht="15" customHeight="1" x14ac:dyDescent="0.15">
      <c r="C27" s="186"/>
      <c r="D27" s="205"/>
      <c r="E27" s="188"/>
      <c r="F27" s="226"/>
      <c r="G27" s="296" t="str">
        <f ca="1">IF(L27="b","",IF(L27="l",0,FIXED(F27,K27,0)&amp;M27))</f>
        <v/>
      </c>
      <c r="H27" s="187"/>
      <c r="I27" s="189"/>
      <c r="K27" s="215"/>
      <c r="L27" t="str">
        <f t="shared" ca="1" si="0"/>
        <v>b</v>
      </c>
      <c r="M27" t="str">
        <f>REPT(" ",3-K27)&amp;IF(K27=0," ","")</f>
        <v xml:space="preserve">    </v>
      </c>
      <c r="O27" s="194"/>
      <c r="P27" s="208">
        <f>IF(ISNUMBER(D27),LOOKUP(D27,$AA$5:$AB$7),D27)</f>
        <v>0</v>
      </c>
      <c r="Q27" s="208">
        <f t="shared" si="2"/>
        <v>0</v>
      </c>
      <c r="R27" s="301" t="str">
        <f t="shared" ca="1" si="1"/>
        <v/>
      </c>
      <c r="S27" s="305">
        <f>H27</f>
        <v>0</v>
      </c>
      <c r="T27" s="145"/>
      <c r="U27" s="216">
        <f ca="1">IF(L27="l","",IF(D27+F27&gt;0,SUM(Y27:Z27),-1))</f>
        <v>-1</v>
      </c>
      <c r="V27" s="373"/>
      <c r="W27" s="107"/>
      <c r="Y27" s="114">
        <f>IF(D27&gt;0,0,TRUNC(F27*T27))</f>
        <v>0</v>
      </c>
      <c r="Z27" t="b">
        <f>IF($D27=1,SUM(Y$13:Y25)-SUM(Z$13:Z25),IF($D27=2,$Z$6,IF($D27=3,TRUNC($Z$6,-3))))</f>
        <v>0</v>
      </c>
      <c r="AA27">
        <f ca="1">IF(OR(AB$8=0,L26="l",D27&gt;0,U27=-1),0,IF(L26="b",-U27,TRUNC(F26*T27)))</f>
        <v>0</v>
      </c>
      <c r="AB27" t="b">
        <f>IF($D27=1,SUM(AA$13:AA25)-SUM(AB$13:AB25),IF($D27=2,$Z$5,IF($D27=3,TRUNC($Z$5,-3))))</f>
        <v>0</v>
      </c>
    </row>
    <row r="28" spans="3:28" ht="15" customHeight="1" x14ac:dyDescent="0.15">
      <c r="C28" s="182"/>
      <c r="D28" s="210"/>
      <c r="E28" s="184"/>
      <c r="F28" s="225"/>
      <c r="G28" s="297" t="str">
        <f ca="1">IF(OR(AB$8=0,L28="b"),"",IF(L28="l",0,"("&amp;FIXED(-F28,K29,0)&amp;M28))</f>
        <v/>
      </c>
      <c r="H28" s="183"/>
      <c r="I28" s="185"/>
      <c r="L28" t="str">
        <f t="shared" ca="1" si="0"/>
        <v>b</v>
      </c>
      <c r="M28" t="str">
        <f>")"&amp;REPT(" ",2-K29)&amp;IF(K29=0," ","")</f>
        <v xml:space="preserve">)   </v>
      </c>
      <c r="O28" s="194"/>
      <c r="P28" s="207">
        <f>D28</f>
        <v>0</v>
      </c>
      <c r="Q28" s="207">
        <f t="shared" si="2"/>
        <v>0</v>
      </c>
      <c r="R28" s="300"/>
      <c r="S28" s="304"/>
      <c r="T28" s="144"/>
      <c r="U28" s="206">
        <f ca="1">IF(OR(AB$8=0,SUM(Y29:AB29)=0),1,IF(L28="l","",SUM(AA29:AB29)))</f>
        <v>1</v>
      </c>
      <c r="V28" s="372"/>
      <c r="W28" s="50"/>
    </row>
    <row r="29" spans="3:28" ht="15" customHeight="1" x14ac:dyDescent="0.15">
      <c r="C29" s="186"/>
      <c r="D29" s="205">
        <v>2</v>
      </c>
      <c r="E29" s="188"/>
      <c r="F29" s="226"/>
      <c r="G29" s="296" t="str">
        <f ca="1">IF(L29="b","",IF(L29="l",0,FIXED(F29,K29,0)&amp;M29))</f>
        <v/>
      </c>
      <c r="H29" s="187"/>
      <c r="I29" s="189"/>
      <c r="K29" s="215"/>
      <c r="L29" t="str">
        <f t="shared" ca="1" si="0"/>
        <v>b</v>
      </c>
      <c r="M29" t="str">
        <f>REPT(" ",3-K29)&amp;IF(K29=0," ","")</f>
        <v xml:space="preserve">    </v>
      </c>
      <c r="O29" s="194"/>
      <c r="P29" s="208" t="str">
        <f>IF(ISNUMBER(D29),LOOKUP(D29,$AA$5:$AB$7),D29)</f>
        <v>合　　　計</v>
      </c>
      <c r="Q29" s="208">
        <f t="shared" si="2"/>
        <v>0</v>
      </c>
      <c r="R29" s="301"/>
      <c r="S29" s="305">
        <f>H29</f>
        <v>0</v>
      </c>
      <c r="T29" s="145"/>
      <c r="U29" s="635">
        <f ca="1">IF(L29="l","",IF(D29+F29&gt;0,SUM(Y29:Z29),-1))</f>
        <v>95</v>
      </c>
      <c r="V29" s="373"/>
      <c r="W29" s="107"/>
      <c r="Y29" s="114">
        <f>IF(D29&gt;0,0,TRUNC(F29*T29))</f>
        <v>0</v>
      </c>
      <c r="Z29">
        <f ca="1">IF($D29=1,SUM(Y$13:Y27)-SUM(Z$13:Z27),IF($D29=2,$Z$6,IF($D29=3,TRUNC($Z$6,-3))))</f>
        <v>95</v>
      </c>
      <c r="AA29">
        <f ca="1">IF(OR(AB$8=0,L28="l",D29&gt;0,U29=-1),0,IF(L28="b",-U29,TRUNC(F28*T29)))</f>
        <v>0</v>
      </c>
      <c r="AB29">
        <f ca="1">IF($D29=1,SUM(AA$13:AA27)-SUM(AB$13:AB27),IF($D29=2,$Z$5,IF($D29=3,TRUNC($Z$5,-3))))</f>
        <v>0</v>
      </c>
    </row>
    <row r="30" spans="3:28" ht="15" customHeight="1" x14ac:dyDescent="0.15">
      <c r="C30" s="182"/>
      <c r="D30" s="210"/>
      <c r="E30" s="184"/>
      <c r="F30" s="225"/>
      <c r="G30" s="297" t="str">
        <f ca="1">IF(OR(AB$8=0,L30="b"),"",IF(L30="l",0,"("&amp;FIXED(-F30,K31,0)&amp;M30))</f>
        <v/>
      </c>
      <c r="H30" s="183"/>
      <c r="I30" s="185"/>
      <c r="L30" t="str">
        <f t="shared" ca="1" si="0"/>
        <v>b</v>
      </c>
      <c r="M30" t="str">
        <f>")"&amp;REPT(" ",2-K31)&amp;IF(K31=0," ","")</f>
        <v xml:space="preserve">)   </v>
      </c>
      <c r="O30" s="194"/>
      <c r="P30" s="207">
        <f>D30</f>
        <v>0</v>
      </c>
      <c r="Q30" s="207">
        <f t="shared" si="2"/>
        <v>0</v>
      </c>
      <c r="R30" s="300"/>
      <c r="S30" s="304"/>
      <c r="T30" s="144"/>
      <c r="U30" s="206">
        <f ca="1">IF(OR(AB$8=0,SUM(Y31:AB31)=0),1,IF(L30="l","",SUM(AA31:AB31)))</f>
        <v>1</v>
      </c>
      <c r="V30" s="372"/>
      <c r="W30" s="50"/>
    </row>
    <row r="31" spans="3:28" ht="15" customHeight="1" x14ac:dyDescent="0.15">
      <c r="C31" s="186"/>
      <c r="D31" s="205"/>
      <c r="E31" s="188"/>
      <c r="F31" s="226"/>
      <c r="G31" s="296" t="str">
        <f ca="1">IF(L31="b","",IF(L31="l",0,FIXED(F31,K31,0)&amp;M31))</f>
        <v/>
      </c>
      <c r="H31" s="187"/>
      <c r="I31" s="189"/>
      <c r="K31" s="215"/>
      <c r="L31" t="str">
        <f t="shared" ca="1" si="0"/>
        <v>b</v>
      </c>
      <c r="M31" t="str">
        <f>REPT(" ",3-K31)&amp;IF(K31=0," ","")</f>
        <v xml:space="preserve">    </v>
      </c>
      <c r="O31" s="194"/>
      <c r="P31" s="8" t="s">
        <v>788</v>
      </c>
      <c r="Q31" s="8"/>
      <c r="R31" s="301"/>
      <c r="S31" s="305"/>
      <c r="T31" s="145"/>
      <c r="U31" s="635">
        <f ca="1">ROUND(U29,-3)</f>
        <v>0</v>
      </c>
      <c r="V31" s="373"/>
      <c r="W31" s="107"/>
      <c r="Y31" s="114">
        <f>IF(D31&gt;0,0,TRUNC(F31*T31))</f>
        <v>0</v>
      </c>
      <c r="Z31" t="b">
        <f>IF($D31=1,SUM(Y$13:Y29)-SUM(Z$13:Z29),IF($D31=2,$Z$6,IF($D31=3,TRUNC($Z$6,-3))))</f>
        <v>0</v>
      </c>
      <c r="AA31">
        <f ca="1">IF(OR(AB$8=0,L30="l",D31&gt;0,U31=-1),0,IF(L30="b",-U31,TRUNC(F30*T31)))</f>
        <v>0</v>
      </c>
      <c r="AB31" t="b">
        <f>IF($D31=1,SUM(AA$13:AA29)-SUM(AB$13:AB29),IF($D31=2,$Z$5,IF($D31=3,TRUNC($Z$5,-3))))</f>
        <v>0</v>
      </c>
    </row>
    <row r="32" spans="3:28" ht="15" customHeight="1" x14ac:dyDescent="0.15">
      <c r="C32" s="182"/>
      <c r="D32" s="210"/>
      <c r="E32" s="184"/>
      <c r="F32" s="225"/>
      <c r="G32" s="297" t="str">
        <f ca="1">IF(OR(AB$8=0,L32="b"),"",IF(L32="l",0,"("&amp;FIXED(-F32,K33,0)&amp;M32))</f>
        <v/>
      </c>
      <c r="H32" s="183"/>
      <c r="I32" s="185"/>
      <c r="L32" t="str">
        <f t="shared" ca="1" si="0"/>
        <v>b</v>
      </c>
      <c r="M32" t="str">
        <f>")"&amp;REPT(" ",2-K33)&amp;IF(K33=0," ","")</f>
        <v xml:space="preserve">)   </v>
      </c>
      <c r="O32" s="194"/>
      <c r="P32" s="207"/>
      <c r="Q32" s="207"/>
      <c r="R32" s="300"/>
      <c r="S32" s="304"/>
      <c r="T32" s="144"/>
      <c r="U32" s="206"/>
      <c r="V32" s="372"/>
      <c r="W32" s="50"/>
    </row>
    <row r="33" spans="3:27" ht="15" customHeight="1" x14ac:dyDescent="0.15">
      <c r="C33" s="186"/>
      <c r="D33" s="205"/>
      <c r="E33" s="188"/>
      <c r="F33" s="226"/>
      <c r="G33" s="296" t="str">
        <f ca="1">IF(L33="b","",IF(L33="l",0,FIXED(F33,K33,0)&amp;M33))</f>
        <v/>
      </c>
      <c r="H33" s="187"/>
      <c r="I33" s="189"/>
      <c r="K33" s="215"/>
      <c r="L33" t="str">
        <f t="shared" ca="1" si="0"/>
        <v>b</v>
      </c>
      <c r="M33" t="str">
        <f>REPT(" ",3-K33)&amp;IF(K33=0," ","")</f>
        <v xml:space="preserve">    </v>
      </c>
      <c r="O33" s="194"/>
      <c r="P33" s="208"/>
      <c r="Q33" s="208"/>
      <c r="R33" s="301"/>
      <c r="S33" s="305">
        <f>H33</f>
        <v>0</v>
      </c>
      <c r="T33" s="145"/>
      <c r="U33" s="216"/>
      <c r="V33" s="373"/>
      <c r="W33" s="107"/>
      <c r="Y33" s="114"/>
    </row>
    <row r="34" spans="3:27" ht="15" customHeight="1" x14ac:dyDescent="0.15">
      <c r="C34" s="182"/>
      <c r="D34" s="210"/>
      <c r="E34" s="184"/>
      <c r="F34" s="225"/>
      <c r="G34" s="297" t="str">
        <f ca="1">IF(OR(AB$8=0,L34="b"),"",IF(L34="l",0,"("&amp;FIXED(-F34,K35,0)&amp;M34))</f>
        <v/>
      </c>
      <c r="H34" s="183"/>
      <c r="I34" s="185"/>
      <c r="L34" t="str">
        <f t="shared" ca="1" si="0"/>
        <v>b</v>
      </c>
      <c r="M34" t="str">
        <f>")"&amp;REPT(" ",2-K35)&amp;IF(K35=0," ","")</f>
        <v xml:space="preserve">)   </v>
      </c>
      <c r="O34" s="194"/>
      <c r="P34" s="6"/>
      <c r="Q34" s="6"/>
      <c r="R34" s="300"/>
      <c r="S34" s="304"/>
      <c r="T34" s="144"/>
      <c r="U34" s="12"/>
      <c r="V34" s="372"/>
      <c r="W34" s="50"/>
    </row>
    <row r="35" spans="3:27" ht="15" customHeight="1" x14ac:dyDescent="0.15">
      <c r="C35" s="186"/>
      <c r="D35" s="205"/>
      <c r="E35" s="188"/>
      <c r="F35" s="226"/>
      <c r="G35" s="296" t="str">
        <f ca="1">IF(L35="b","",IF(L35="l",0,FIXED(F35,K35,0)&amp;M35))</f>
        <v/>
      </c>
      <c r="H35" s="187"/>
      <c r="I35" s="189"/>
      <c r="K35" s="215"/>
      <c r="L35" t="str">
        <f t="shared" ca="1" si="0"/>
        <v>b</v>
      </c>
      <c r="M35" t="str">
        <f>REPT(" ",3-K35)&amp;IF(K35=0," ","")</f>
        <v xml:space="preserve">    </v>
      </c>
      <c r="O35" s="194"/>
      <c r="P35" s="8"/>
      <c r="Q35" s="8"/>
      <c r="R35" s="301"/>
      <c r="S35" s="305">
        <f>H35</f>
        <v>0</v>
      </c>
      <c r="T35" s="145"/>
      <c r="U35" s="13"/>
      <c r="V35" s="373"/>
      <c r="W35" s="107"/>
      <c r="Y35" s="114"/>
    </row>
    <row r="36" spans="3:27" ht="15" customHeight="1" x14ac:dyDescent="0.15">
      <c r="C36" s="182"/>
      <c r="D36" s="210"/>
      <c r="E36" s="184"/>
      <c r="F36" s="225"/>
      <c r="G36" s="297" t="str">
        <f ca="1">IF(OR(AB$8=0,L36="b"),"",IF(L36="l",0,"("&amp;FIXED(-F36,K37,0)&amp;M36))</f>
        <v/>
      </c>
      <c r="H36" s="183"/>
      <c r="I36" s="185"/>
      <c r="L36" t="str">
        <f t="shared" ca="1" si="0"/>
        <v>b</v>
      </c>
      <c r="M36" t="str">
        <f>")"&amp;REPT(" ",2-K37)&amp;IF(K37=0," ","")</f>
        <v xml:space="preserve">)   </v>
      </c>
      <c r="O36" s="194"/>
      <c r="P36" s="6"/>
      <c r="Q36" s="6"/>
      <c r="R36" s="300"/>
      <c r="S36" s="304"/>
      <c r="T36" s="144"/>
      <c r="U36" s="12"/>
      <c r="V36" s="372"/>
      <c r="W36" s="50"/>
    </row>
    <row r="37" spans="3:27" ht="15" customHeight="1" x14ac:dyDescent="0.15">
      <c r="C37" s="186"/>
      <c r="D37" s="205"/>
      <c r="E37" s="188"/>
      <c r="F37" s="226"/>
      <c r="G37" s="296" t="str">
        <f ca="1">IF(L37="b","",IF(L37="l",0,FIXED(F37,K37,0)&amp;M37))</f>
        <v/>
      </c>
      <c r="H37" s="187"/>
      <c r="I37" s="189"/>
      <c r="K37" s="215"/>
      <c r="L37" t="str">
        <f t="shared" ca="1" si="0"/>
        <v>b</v>
      </c>
      <c r="M37" t="str">
        <f>REPT(" ",3-K37)&amp;IF(K37=0," ","")</f>
        <v xml:space="preserve">    </v>
      </c>
      <c r="O37" s="194"/>
      <c r="P37" s="8"/>
      <c r="Q37" s="8"/>
      <c r="R37" s="301"/>
      <c r="S37" s="305">
        <f>H37</f>
        <v>0</v>
      </c>
      <c r="T37" s="145"/>
      <c r="U37" s="13"/>
      <c r="V37" s="373"/>
      <c r="W37" s="107"/>
      <c r="Y37" s="114"/>
    </row>
    <row r="38" spans="3:27" ht="15" customHeight="1" x14ac:dyDescent="0.15">
      <c r="C38" s="182"/>
      <c r="D38" s="210"/>
      <c r="E38" s="184"/>
      <c r="F38" s="225"/>
      <c r="G38" s="297" t="str">
        <f ca="1">IF(OR(AB$8=0,L38="b"),"",IF(L38="l",0,"("&amp;FIXED(-F38,K39,0)&amp;M38))</f>
        <v/>
      </c>
      <c r="H38" s="183"/>
      <c r="I38" s="185"/>
      <c r="L38" t="str">
        <f t="shared" ca="1" si="0"/>
        <v>b</v>
      </c>
      <c r="M38" t="str">
        <f>")"&amp;REPT(" ",2-K39)&amp;IF(K39=0," ","")</f>
        <v xml:space="preserve">)   </v>
      </c>
      <c r="O38" s="194"/>
      <c r="P38" s="6"/>
      <c r="Q38" s="6"/>
      <c r="R38" s="300"/>
      <c r="S38" s="304"/>
      <c r="T38" s="144"/>
      <c r="U38" s="12"/>
      <c r="V38" s="372"/>
      <c r="W38" s="50"/>
    </row>
    <row r="39" spans="3:27" ht="15" customHeight="1" x14ac:dyDescent="0.15">
      <c r="C39" s="186"/>
      <c r="D39" s="205"/>
      <c r="E39" s="188"/>
      <c r="F39" s="226"/>
      <c r="G39" s="296" t="str">
        <f ca="1">IF(L39="b","",IF(L39="l",0,FIXED(F39,K39,0)&amp;M39))</f>
        <v/>
      </c>
      <c r="H39" s="187"/>
      <c r="I39" s="189"/>
      <c r="K39" s="215"/>
      <c r="L39" t="str">
        <f t="shared" ca="1" si="0"/>
        <v>b</v>
      </c>
      <c r="M39" t="str">
        <f>REPT(" ",3-K39)&amp;IF(K39=0," ","")</f>
        <v xml:space="preserve">    </v>
      </c>
      <c r="O39" s="194"/>
      <c r="P39" s="8"/>
      <c r="Q39" s="8"/>
      <c r="R39" s="301"/>
      <c r="S39" s="305">
        <f>H39</f>
        <v>0</v>
      </c>
      <c r="T39" s="145"/>
      <c r="U39" s="13"/>
      <c r="V39" s="373"/>
      <c r="W39" s="107"/>
      <c r="Y39" s="114"/>
    </row>
    <row r="40" spans="3:27" ht="15" customHeight="1" x14ac:dyDescent="0.15">
      <c r="C40" s="182"/>
      <c r="D40" s="210"/>
      <c r="E40" s="184"/>
      <c r="F40" s="225"/>
      <c r="G40" s="297" t="str">
        <f ca="1">IF(OR(AB$8=0,L40="b"),"",IF(L40="l",0,"("&amp;FIXED(-F40,K41,0)&amp;M40))</f>
        <v/>
      </c>
      <c r="H40" s="183"/>
      <c r="I40" s="185"/>
      <c r="L40" t="str">
        <f t="shared" ca="1" si="0"/>
        <v>b</v>
      </c>
      <c r="M40" t="str">
        <f>")"&amp;REPT(" ",2-K41)&amp;IF(K41=0," ","")</f>
        <v xml:space="preserve">)   </v>
      </c>
      <c r="O40" s="194"/>
      <c r="P40" s="6"/>
      <c r="Q40" s="6"/>
      <c r="R40" s="300"/>
      <c r="S40" s="304"/>
      <c r="T40" s="144"/>
      <c r="U40" s="12"/>
      <c r="V40" s="372"/>
      <c r="W40" s="50"/>
    </row>
    <row r="41" spans="3:27" ht="15" customHeight="1" x14ac:dyDescent="0.15">
      <c r="C41" s="186"/>
      <c r="D41" s="205"/>
      <c r="E41" s="188"/>
      <c r="F41" s="226"/>
      <c r="G41" s="296" t="str">
        <f ca="1">IF(L41="b","",IF(L41="l",0,FIXED(F41,K41,0)&amp;M41))</f>
        <v/>
      </c>
      <c r="H41" s="187"/>
      <c r="I41" s="189"/>
      <c r="K41" s="215"/>
      <c r="L41" t="str">
        <f t="shared" ca="1" si="0"/>
        <v>b</v>
      </c>
      <c r="M41" t="str">
        <f>REPT(" ",3-K41)&amp;IF(K41=0," ","")</f>
        <v xml:space="preserve">    </v>
      </c>
      <c r="O41" s="194"/>
      <c r="P41" s="8"/>
      <c r="Q41" s="8"/>
      <c r="R41" s="301"/>
      <c r="S41" s="305">
        <f>H41</f>
        <v>0</v>
      </c>
      <c r="T41" s="145"/>
      <c r="U41" s="13"/>
      <c r="V41" s="373"/>
      <c r="W41" s="107"/>
      <c r="Y41" s="114"/>
    </row>
    <row r="42" spans="3:27" ht="15" customHeight="1" x14ac:dyDescent="0.15">
      <c r="C42" s="182"/>
      <c r="D42" s="210"/>
      <c r="E42" s="184"/>
      <c r="F42" s="225"/>
      <c r="G42" s="297" t="str">
        <f ca="1">IF(OR(AB$8=0,L42="b"),"",IF(L42="l",0,"("&amp;FIXED(-F42,K43,0)&amp;M42))</f>
        <v/>
      </c>
      <c r="H42" s="183"/>
      <c r="I42" s="185"/>
      <c r="L42" t="str">
        <f t="shared" ca="1" si="0"/>
        <v>b</v>
      </c>
      <c r="M42" t="str">
        <f>")"&amp;REPT(" ",2-K43)&amp;IF(K43=0," ","")</f>
        <v xml:space="preserve">)   </v>
      </c>
      <c r="O42" s="194"/>
      <c r="P42" s="6"/>
      <c r="Q42" s="6"/>
      <c r="R42" s="300"/>
      <c r="S42" s="304"/>
      <c r="T42" s="144"/>
      <c r="U42" s="206"/>
      <c r="V42" s="372"/>
      <c r="W42" s="50"/>
    </row>
    <row r="43" spans="3:27" ht="15" customHeight="1" x14ac:dyDescent="0.15">
      <c r="C43" s="186"/>
      <c r="D43" s="205"/>
      <c r="E43" s="188"/>
      <c r="F43" s="226"/>
      <c r="G43" s="296" t="str">
        <f ca="1">IF(L43="b","",IF(L43="l",0,FIXED(F43,K43,0)&amp;M43))</f>
        <v/>
      </c>
      <c r="H43" s="187"/>
      <c r="I43" s="189"/>
      <c r="K43" s="215"/>
      <c r="L43" t="str">
        <f t="shared" ca="1" si="0"/>
        <v>b</v>
      </c>
      <c r="M43" t="str">
        <f>REPT(" ",3-K43)&amp;IF(K43=0," ","")</f>
        <v xml:space="preserve">    </v>
      </c>
      <c r="O43" s="194"/>
      <c r="P43" s="617"/>
      <c r="Q43" s="8"/>
      <c r="R43" s="633"/>
      <c r="S43" s="305"/>
      <c r="T43" s="145"/>
      <c r="U43" s="634"/>
      <c r="V43" s="373"/>
      <c r="W43" s="107"/>
      <c r="Y43" s="114"/>
      <c r="AA43" s="114"/>
    </row>
    <row r="44" spans="3:27" ht="15" customHeight="1" x14ac:dyDescent="0.15">
      <c r="C44" s="182"/>
      <c r="D44" s="210"/>
      <c r="E44" s="184"/>
      <c r="F44" s="225"/>
      <c r="G44" s="297" t="str">
        <f ca="1">IF(OR(AB$8=0,L44="b"),"",IF(L44="l",0,"("&amp;FIXED(-F44,K45,0)&amp;M44))</f>
        <v/>
      </c>
      <c r="H44" s="183"/>
      <c r="I44" s="185"/>
      <c r="L44" t="str">
        <f t="shared" ca="1" si="0"/>
        <v>b</v>
      </c>
      <c r="M44" t="str">
        <f>")"&amp;REPT(" ",2-K45)&amp;IF(K45=0," ","")</f>
        <v xml:space="preserve">)   </v>
      </c>
      <c r="O44" s="194"/>
      <c r="P44" s="6"/>
      <c r="Q44" s="6"/>
      <c r="R44" s="300"/>
      <c r="S44" s="304"/>
      <c r="T44" s="144"/>
      <c r="U44" s="12"/>
      <c r="V44" s="372"/>
      <c r="W44" s="50"/>
    </row>
    <row r="45" spans="3:27" ht="15" customHeight="1" x14ac:dyDescent="0.15">
      <c r="C45" s="186"/>
      <c r="D45" s="205"/>
      <c r="E45" s="188"/>
      <c r="F45" s="226"/>
      <c r="G45" s="296" t="str">
        <f ca="1">IF(L45="b","",IF(L45="l",0,FIXED(F45,K45,0)&amp;M45))</f>
        <v/>
      </c>
      <c r="H45" s="187"/>
      <c r="I45" s="189"/>
      <c r="K45" s="215"/>
      <c r="L45" t="str">
        <f t="shared" ca="1" si="0"/>
        <v>b</v>
      </c>
      <c r="M45" t="str">
        <f>REPT(" ",3-K45)&amp;IF(K45=0," ","")</f>
        <v xml:space="preserve">    </v>
      </c>
      <c r="O45" s="194"/>
      <c r="P45" s="8"/>
      <c r="Q45" s="8"/>
      <c r="R45" s="301"/>
      <c r="S45" s="305"/>
      <c r="T45" s="145"/>
      <c r="U45" s="13"/>
      <c r="V45" s="373"/>
      <c r="W45" s="107"/>
      <c r="Y45" s="114"/>
    </row>
    <row r="46" spans="3:27" ht="15" customHeight="1" x14ac:dyDescent="0.15">
      <c r="C46" s="182"/>
      <c r="D46" s="210"/>
      <c r="E46" s="184"/>
      <c r="F46" s="225"/>
      <c r="G46" s="297" t="str">
        <f ca="1">IF(OR(AB$8=0,L46="b"),"",IF(L46="l",0,"("&amp;FIXED(-F46,K47,0)&amp;M46))</f>
        <v/>
      </c>
      <c r="H46" s="183"/>
      <c r="I46" s="185"/>
      <c r="L46" t="str">
        <f t="shared" ca="1" si="0"/>
        <v>b</v>
      </c>
      <c r="M46" t="str">
        <f>")"&amp;REPT(" ",2-K47)&amp;IF(K47=0," ","")</f>
        <v xml:space="preserve">)   </v>
      </c>
      <c r="O46" s="194"/>
      <c r="P46" s="6"/>
      <c r="Q46" s="6"/>
      <c r="R46" s="300"/>
      <c r="S46" s="304"/>
      <c r="T46" s="144"/>
      <c r="U46" s="206"/>
      <c r="V46" s="372"/>
      <c r="W46" s="50"/>
    </row>
    <row r="47" spans="3:27" ht="15" customHeight="1" x14ac:dyDescent="0.15">
      <c r="C47" s="186"/>
      <c r="D47" s="205"/>
      <c r="E47" s="188"/>
      <c r="F47" s="226"/>
      <c r="G47" s="296" t="str">
        <f ca="1">IF(L47="b","",IF(L47="l",0,FIXED(F47,K47,0)&amp;M47))</f>
        <v/>
      </c>
      <c r="H47" s="187"/>
      <c r="I47" s="189"/>
      <c r="K47" s="215"/>
      <c r="L47" t="str">
        <f t="shared" ca="1" si="0"/>
        <v>b</v>
      </c>
      <c r="M47" t="str">
        <f>REPT(" ",3-K47)&amp;IF(K47=0," ","")</f>
        <v xml:space="preserve">    </v>
      </c>
      <c r="O47" s="194"/>
      <c r="P47" s="8"/>
      <c r="Q47" s="8"/>
      <c r="R47" s="301"/>
      <c r="S47" s="305"/>
      <c r="T47" s="145"/>
      <c r="U47" s="635"/>
      <c r="V47" s="373"/>
      <c r="W47" s="107"/>
      <c r="Y47" s="114"/>
    </row>
    <row r="48" spans="3:27" ht="15" customHeight="1" x14ac:dyDescent="0.15">
      <c r="C48" s="182"/>
      <c r="D48" s="210"/>
      <c r="E48" s="184"/>
      <c r="F48" s="225"/>
      <c r="G48" s="297" t="str">
        <f ca="1">IF(OR(AB$8=0,L48="b"),"",IF(L48="l",0,"("&amp;FIXED(-F48,K49,0)&amp;M48))</f>
        <v/>
      </c>
      <c r="H48" s="183"/>
      <c r="I48" s="185"/>
      <c r="L48" t="str">
        <f t="shared" ca="1" si="0"/>
        <v>b</v>
      </c>
      <c r="M48" t="str">
        <f>")"&amp;REPT(" ",2-K49)&amp;IF(K49=0," ","")</f>
        <v xml:space="preserve">)   </v>
      </c>
      <c r="O48" s="194"/>
      <c r="P48" s="6"/>
      <c r="Q48" s="6"/>
      <c r="R48" s="300"/>
      <c r="S48" s="304"/>
      <c r="T48" s="144"/>
      <c r="U48" s="206"/>
      <c r="V48" s="372"/>
      <c r="W48" s="50"/>
    </row>
    <row r="49" spans="3:25" ht="15" customHeight="1" x14ac:dyDescent="0.15">
      <c r="C49" s="186"/>
      <c r="D49" s="205"/>
      <c r="E49" s="188"/>
      <c r="F49" s="226"/>
      <c r="G49" s="296" t="str">
        <f ca="1">IF(L49="b","",IF(L49="l",0,FIXED(F49,K49,0)&amp;M49))</f>
        <v/>
      </c>
      <c r="H49" s="187"/>
      <c r="I49" s="189"/>
      <c r="K49" s="215"/>
      <c r="L49" t="str">
        <f t="shared" ca="1" si="0"/>
        <v>b</v>
      </c>
      <c r="M49" t="str">
        <f>REPT(" ",3-K49)&amp;IF(K49=0," ","")</f>
        <v xml:space="preserve">    </v>
      </c>
      <c r="O49" s="194"/>
      <c r="P49" s="8"/>
      <c r="Q49" s="8"/>
      <c r="R49" s="301"/>
      <c r="S49" s="305"/>
      <c r="T49" s="145"/>
      <c r="U49" s="635"/>
      <c r="V49" s="373"/>
      <c r="W49" s="107"/>
      <c r="Y49" s="114"/>
    </row>
    <row r="50" spans="3:25" ht="15" customHeight="1" x14ac:dyDescent="0.15">
      <c r="C50" s="182"/>
      <c r="D50" s="210"/>
      <c r="E50" s="184"/>
      <c r="F50" s="225"/>
      <c r="G50" s="297" t="str">
        <f ca="1">IF(OR(AB$8=0,L50="b"),"",IF(L50="l",0,"("&amp;FIXED(-F50,K51,0)&amp;M50))</f>
        <v/>
      </c>
      <c r="H50" s="183"/>
      <c r="I50" s="185"/>
      <c r="L50" t="str">
        <f t="shared" ca="1" si="0"/>
        <v>b</v>
      </c>
      <c r="M50" t="str">
        <f>")"&amp;REPT(" ",2-K51)&amp;IF(K51=0," ","")</f>
        <v xml:space="preserve">)   </v>
      </c>
      <c r="O50" s="194"/>
      <c r="P50" s="6"/>
      <c r="Q50" s="6"/>
      <c r="R50" s="300"/>
      <c r="S50" s="304"/>
      <c r="T50" s="144"/>
      <c r="U50" s="12"/>
      <c r="V50" s="372"/>
      <c r="W50" s="50"/>
    </row>
    <row r="51" spans="3:25" ht="15" customHeight="1" x14ac:dyDescent="0.15">
      <c r="C51" s="186"/>
      <c r="D51" s="205"/>
      <c r="E51" s="188"/>
      <c r="F51" s="226"/>
      <c r="G51" s="296" t="str">
        <f ca="1">IF(L51="b","",IF(L51="l",0,FIXED(F51,K51,0)&amp;M51))</f>
        <v/>
      </c>
      <c r="H51" s="187"/>
      <c r="I51" s="189"/>
      <c r="K51" s="215"/>
      <c r="L51" t="str">
        <f t="shared" ca="1" si="0"/>
        <v>b</v>
      </c>
      <c r="M51" t="str">
        <f>REPT(" ",3-K51)&amp;IF(K51=0," ","")</f>
        <v xml:space="preserve">    </v>
      </c>
      <c r="O51" s="194"/>
      <c r="P51" s="8"/>
      <c r="Q51" s="8"/>
      <c r="R51" s="301"/>
      <c r="S51" s="305">
        <f>H51</f>
        <v>0</v>
      </c>
      <c r="T51" s="145"/>
      <c r="U51" s="13"/>
      <c r="V51" s="373"/>
      <c r="W51" s="107"/>
      <c r="Y51" s="114"/>
    </row>
    <row r="52" spans="3:25" ht="15" customHeight="1" x14ac:dyDescent="0.15">
      <c r="C52" s="182"/>
      <c r="D52" s="210"/>
      <c r="E52" s="184"/>
      <c r="F52" s="225"/>
      <c r="G52" s="297" t="str">
        <f ca="1">IF(OR(AB$8=0,L52="b"),"",IF(L52="l",0,"("&amp;FIXED(-F52,K53,0)&amp;M52))</f>
        <v/>
      </c>
      <c r="H52" s="183"/>
      <c r="I52" s="185"/>
      <c r="L52" t="str">
        <f t="shared" ca="1" si="0"/>
        <v>b</v>
      </c>
      <c r="M52" t="str">
        <f>")"&amp;REPT(" ",2-K53)&amp;IF(K53=0," ","")</f>
        <v xml:space="preserve">)   </v>
      </c>
      <c r="O52" s="194"/>
      <c r="P52" s="6"/>
      <c r="Q52" s="6"/>
      <c r="R52" s="300"/>
      <c r="S52" s="304"/>
      <c r="T52" s="144"/>
      <c r="U52" s="12"/>
      <c r="V52" s="372"/>
      <c r="W52" s="50"/>
    </row>
    <row r="53" spans="3:25" ht="15" customHeight="1" x14ac:dyDescent="0.15">
      <c r="C53" s="186"/>
      <c r="D53" s="205"/>
      <c r="E53" s="188"/>
      <c r="F53" s="226"/>
      <c r="G53" s="296" t="str">
        <f ca="1">IF(L53="b","",IF(L53="l",0,FIXED(F53,K53,0)&amp;M53))</f>
        <v/>
      </c>
      <c r="H53" s="187"/>
      <c r="I53" s="189"/>
      <c r="K53" s="215"/>
      <c r="L53" t="str">
        <f t="shared" ca="1" si="0"/>
        <v>b</v>
      </c>
      <c r="M53" t="str">
        <f>REPT(" ",3-K53)&amp;IF(K53=0," ","")</f>
        <v xml:space="preserve">    </v>
      </c>
      <c r="O53" s="194"/>
      <c r="P53" s="8"/>
      <c r="Q53" s="8"/>
      <c r="R53" s="301"/>
      <c r="S53" s="305">
        <f>H53</f>
        <v>0</v>
      </c>
      <c r="T53" s="145"/>
      <c r="U53" s="13"/>
      <c r="V53" s="373"/>
      <c r="W53" s="107"/>
      <c r="Y53" s="114"/>
    </row>
    <row r="54" spans="3:25" ht="15" customHeight="1" x14ac:dyDescent="0.15">
      <c r="C54" s="182"/>
      <c r="D54" s="210"/>
      <c r="E54" s="184"/>
      <c r="F54" s="225"/>
      <c r="G54" s="297" t="str">
        <f ca="1">IF(OR(AB$8=0,L54="b"),"",IF(L54="l",0,"("&amp;FIXED(-F54,K55,0)&amp;M54))</f>
        <v/>
      </c>
      <c r="H54" s="183"/>
      <c r="I54" s="185"/>
      <c r="L54" t="str">
        <f t="shared" ca="1" si="0"/>
        <v>b</v>
      </c>
      <c r="M54" t="str">
        <f>")"&amp;REPT(" ",2-K55)&amp;IF(K55=0," ","")</f>
        <v xml:space="preserve">)   </v>
      </c>
      <c r="O54" s="194"/>
      <c r="P54" s="6"/>
      <c r="Q54" s="6"/>
      <c r="R54" s="300"/>
      <c r="S54" s="304"/>
      <c r="T54" s="144"/>
      <c r="U54" s="12"/>
      <c r="V54" s="372"/>
      <c r="W54" s="50"/>
    </row>
    <row r="55" spans="3:25" ht="15" customHeight="1" x14ac:dyDescent="0.15">
      <c r="C55" s="186"/>
      <c r="D55" s="205"/>
      <c r="E55" s="188"/>
      <c r="F55" s="226"/>
      <c r="G55" s="296" t="str">
        <f ca="1">IF(L55="b","",IF(L55="l",0,FIXED(F55,K55,0)&amp;M55))</f>
        <v/>
      </c>
      <c r="H55" s="187"/>
      <c r="I55" s="189"/>
      <c r="K55" s="215"/>
      <c r="L55" t="str">
        <f t="shared" ca="1" si="0"/>
        <v>b</v>
      </c>
      <c r="M55" t="str">
        <f>REPT(" ",3-K55)&amp;IF(K55=0," ","")</f>
        <v xml:space="preserve">    </v>
      </c>
      <c r="O55" s="194"/>
      <c r="P55" s="8"/>
      <c r="Q55" s="8"/>
      <c r="R55" s="301"/>
      <c r="S55" s="305">
        <f>H55</f>
        <v>0</v>
      </c>
      <c r="T55" s="145"/>
      <c r="U55" s="13"/>
      <c r="V55" s="373"/>
      <c r="W55" s="107"/>
      <c r="Y55" s="114"/>
    </row>
    <row r="56" spans="3:25" ht="15" customHeight="1" x14ac:dyDescent="0.15">
      <c r="C56" s="182"/>
      <c r="D56" s="210"/>
      <c r="E56" s="184"/>
      <c r="F56" s="225"/>
      <c r="G56" s="297" t="str">
        <f ca="1">IF(OR(AB$8=0,L56="b"),"",IF(L56="l",0,"("&amp;FIXED(-F56,K57,0)&amp;M56))</f>
        <v/>
      </c>
      <c r="H56" s="183"/>
      <c r="I56" s="185"/>
      <c r="L56" t="str">
        <f t="shared" ca="1" si="0"/>
        <v>b</v>
      </c>
      <c r="M56" t="str">
        <f>")"&amp;REPT(" ",2-K57)&amp;IF(K57=0," ","")</f>
        <v xml:space="preserve">)   </v>
      </c>
      <c r="O56" s="194"/>
      <c r="P56" s="6"/>
      <c r="Q56" s="6"/>
      <c r="R56" s="300"/>
      <c r="S56" s="304"/>
      <c r="T56" s="144"/>
      <c r="U56" s="12"/>
      <c r="V56" s="372"/>
      <c r="W56" s="50"/>
    </row>
    <row r="57" spans="3:25" ht="15" customHeight="1" x14ac:dyDescent="0.15">
      <c r="C57" s="186"/>
      <c r="D57" s="205"/>
      <c r="E57" s="188"/>
      <c r="F57" s="226"/>
      <c r="G57" s="296" t="str">
        <f ca="1">IF(L57="b","",IF(L57="l",0,FIXED(F57,K57,0)&amp;M57))</f>
        <v/>
      </c>
      <c r="H57" s="187"/>
      <c r="I57" s="189"/>
      <c r="K57" s="215"/>
      <c r="L57" t="str">
        <f t="shared" ca="1" si="0"/>
        <v>b</v>
      </c>
      <c r="M57" t="str">
        <f>REPT(" ",3-K57)&amp;IF(K57=0," ","")</f>
        <v xml:space="preserve">    </v>
      </c>
      <c r="O57" s="194"/>
      <c r="P57" s="8"/>
      <c r="Q57" s="8"/>
      <c r="R57" s="301"/>
      <c r="S57" s="305">
        <f>H57</f>
        <v>0</v>
      </c>
      <c r="T57" s="145"/>
      <c r="U57" s="13"/>
      <c r="V57" s="373"/>
      <c r="W57" s="107"/>
      <c r="Y57" s="114"/>
    </row>
    <row r="58" spans="3:25" ht="15" customHeight="1" x14ac:dyDescent="0.15">
      <c r="C58" s="182"/>
      <c r="D58" s="210"/>
      <c r="E58" s="184"/>
      <c r="F58" s="225"/>
      <c r="G58" s="297" t="str">
        <f ca="1">IF(OR(AB$8=0,L58="b"),"",IF(L58="l",0,"("&amp;FIXED(-F58,K59,0)&amp;M58))</f>
        <v/>
      </c>
      <c r="H58" s="183"/>
      <c r="I58" s="185"/>
      <c r="L58" t="str">
        <f t="shared" ca="1" si="0"/>
        <v>b</v>
      </c>
      <c r="M58" t="str">
        <f>")"&amp;REPT(" ",2-K59)&amp;IF(K59=0," ","")</f>
        <v xml:space="preserve">)   </v>
      </c>
      <c r="O58" s="194"/>
      <c r="P58" s="6"/>
      <c r="Q58" s="6"/>
      <c r="R58" s="300"/>
      <c r="S58" s="304"/>
      <c r="T58" s="144"/>
      <c r="U58" s="12"/>
      <c r="V58" s="372"/>
      <c r="W58" s="50"/>
    </row>
    <row r="59" spans="3:25" ht="15" customHeight="1" x14ac:dyDescent="0.15">
      <c r="C59" s="186"/>
      <c r="D59" s="205"/>
      <c r="E59" s="188"/>
      <c r="F59" s="226"/>
      <c r="G59" s="296" t="str">
        <f ca="1">IF(L59="b","",IF(L59="l",0,FIXED(F59,K59,0)&amp;M59))</f>
        <v/>
      </c>
      <c r="H59" s="187"/>
      <c r="I59" s="189"/>
      <c r="K59" s="215"/>
      <c r="L59" t="str">
        <f t="shared" ca="1" si="0"/>
        <v>b</v>
      </c>
      <c r="M59" t="str">
        <f>REPT(" ",3-K59)&amp;IF(K59=0," ","")</f>
        <v xml:space="preserve">    </v>
      </c>
      <c r="O59" s="194"/>
      <c r="P59" s="8"/>
      <c r="Q59" s="8"/>
      <c r="R59" s="301"/>
      <c r="S59" s="305">
        <f>H59</f>
        <v>0</v>
      </c>
      <c r="T59" s="145"/>
      <c r="U59" s="13"/>
      <c r="V59" s="373"/>
      <c r="W59" s="107"/>
      <c r="Y59" s="114"/>
    </row>
    <row r="60" spans="3:25" ht="15" customHeight="1" x14ac:dyDescent="0.15">
      <c r="C60" s="182"/>
      <c r="D60" s="210"/>
      <c r="E60" s="184"/>
      <c r="F60" s="225"/>
      <c r="G60" s="297" t="str">
        <f ca="1">IF(OR(AB$8=0,L60="b"),"",IF(L60="l",0,"("&amp;FIXED(-F60,K61,0)&amp;M60))</f>
        <v/>
      </c>
      <c r="H60" s="183"/>
      <c r="I60" s="185"/>
      <c r="L60" t="str">
        <f t="shared" ca="1" si="0"/>
        <v>b</v>
      </c>
      <c r="M60" t="str">
        <f>")"&amp;REPT(" ",2-K61)&amp;IF(K61=0," ","")</f>
        <v xml:space="preserve">)   </v>
      </c>
      <c r="O60" s="194"/>
      <c r="P60" s="6"/>
      <c r="Q60" s="6"/>
      <c r="R60" s="300"/>
      <c r="S60" s="304"/>
      <c r="T60" s="144"/>
      <c r="U60" s="12"/>
      <c r="V60" s="372"/>
      <c r="W60" s="50"/>
    </row>
    <row r="61" spans="3:25" ht="15" customHeight="1" x14ac:dyDescent="0.15">
      <c r="C61" s="186"/>
      <c r="D61" s="205"/>
      <c r="E61" s="188"/>
      <c r="F61" s="226"/>
      <c r="G61" s="296" t="str">
        <f ca="1">IF(L61="b","",IF(L61="l",0,FIXED(F61,K61,0)&amp;M61))</f>
        <v/>
      </c>
      <c r="H61" s="187"/>
      <c r="I61" s="189"/>
      <c r="K61" s="215"/>
      <c r="L61" t="str">
        <f t="shared" ca="1" si="0"/>
        <v>b</v>
      </c>
      <c r="M61" t="str">
        <f>REPT(" ",3-K61)&amp;IF(K61=0," ","")</f>
        <v xml:space="preserve">    </v>
      </c>
      <c r="O61" s="194"/>
      <c r="P61" s="8"/>
      <c r="Q61" s="8"/>
      <c r="R61" s="301"/>
      <c r="S61" s="305">
        <f>H61</f>
        <v>0</v>
      </c>
      <c r="T61" s="145"/>
      <c r="U61" s="13"/>
      <c r="V61" s="373"/>
      <c r="W61" s="107"/>
      <c r="Y61" s="114"/>
    </row>
    <row r="62" spans="3:25" ht="15" customHeight="1" x14ac:dyDescent="0.15">
      <c r="C62" s="182"/>
      <c r="D62" s="210"/>
      <c r="E62" s="184"/>
      <c r="F62" s="225"/>
      <c r="G62" s="297" t="str">
        <f ca="1">IF(OR(AB$8=0,L62="b"),"",IF(L62="l",0,"("&amp;FIXED(-F62,K63,0)&amp;M62))</f>
        <v/>
      </c>
      <c r="H62" s="183"/>
      <c r="I62" s="185"/>
      <c r="L62" t="str">
        <f t="shared" ca="1" si="0"/>
        <v>b</v>
      </c>
      <c r="M62" t="str">
        <f>")"&amp;REPT(" ",2-K63)&amp;IF(K63=0," ","")</f>
        <v xml:space="preserve">)   </v>
      </c>
      <c r="O62" s="194"/>
      <c r="P62" s="6"/>
      <c r="Q62" s="6"/>
      <c r="R62" s="300"/>
      <c r="S62" s="304"/>
      <c r="T62" s="144"/>
      <c r="U62" s="12"/>
      <c r="V62" s="372"/>
      <c r="W62" s="50"/>
    </row>
    <row r="63" spans="3:25" ht="15" customHeight="1" x14ac:dyDescent="0.15">
      <c r="C63" s="186"/>
      <c r="D63" s="205"/>
      <c r="E63" s="188"/>
      <c r="F63" s="226"/>
      <c r="G63" s="296" t="str">
        <f ca="1">IF(L63="b","",IF(L63="l",0,FIXED(F63,K63,0)&amp;M63))</f>
        <v/>
      </c>
      <c r="H63" s="187"/>
      <c r="I63" s="189"/>
      <c r="K63" s="215"/>
      <c r="L63" t="str">
        <f t="shared" ca="1" si="0"/>
        <v>b</v>
      </c>
      <c r="M63" t="str">
        <f>REPT(" ",3-K63)&amp;IF(K63=0," ","")</f>
        <v xml:space="preserve">    </v>
      </c>
      <c r="O63" s="194"/>
      <c r="P63" s="8"/>
      <c r="Q63" s="8"/>
      <c r="R63" s="301"/>
      <c r="S63" s="305">
        <f>H63</f>
        <v>0</v>
      </c>
      <c r="T63" s="145"/>
      <c r="U63" s="13"/>
      <c r="V63" s="373"/>
      <c r="W63" s="107"/>
      <c r="Y63" s="114"/>
    </row>
    <row r="64" spans="3:25" ht="15" customHeight="1" x14ac:dyDescent="0.15">
      <c r="C64" s="182"/>
      <c r="D64" s="210"/>
      <c r="E64" s="184"/>
      <c r="F64" s="225"/>
      <c r="G64" s="297" t="str">
        <f ca="1">IF(OR(AB$8=0,L64="b"),"",IF(L64="l",0,"("&amp;FIXED(-F64,K65,0)&amp;M64))</f>
        <v/>
      </c>
      <c r="H64" s="183"/>
      <c r="I64" s="185"/>
      <c r="L64" t="str">
        <f t="shared" ca="1" si="0"/>
        <v>b</v>
      </c>
      <c r="M64" t="str">
        <f>")"&amp;REPT(" ",2-K65)&amp;IF(K65=0," ","")</f>
        <v xml:space="preserve">)   </v>
      </c>
      <c r="O64" s="194"/>
      <c r="P64" s="6"/>
      <c r="Q64" s="6"/>
      <c r="R64" s="300"/>
      <c r="S64" s="304"/>
      <c r="T64" s="144"/>
      <c r="U64" s="12"/>
      <c r="V64" s="372"/>
      <c r="W64" s="50"/>
    </row>
    <row r="65" spans="1:25" ht="15" customHeight="1" x14ac:dyDescent="0.15">
      <c r="C65" s="186"/>
      <c r="D65" s="205"/>
      <c r="E65" s="188"/>
      <c r="F65" s="226"/>
      <c r="G65" s="296" t="str">
        <f ca="1">IF(L65="b","",IF(L65="l",0,FIXED(F65,K65,0)&amp;M65))</f>
        <v/>
      </c>
      <c r="H65" s="187"/>
      <c r="I65" s="189"/>
      <c r="K65" s="215"/>
      <c r="L65" t="str">
        <f t="shared" ca="1" si="0"/>
        <v>b</v>
      </c>
      <c r="M65" t="str">
        <f>REPT(" ",3-K65)&amp;IF(K65=0," ","")</f>
        <v xml:space="preserve">    </v>
      </c>
      <c r="O65" s="194"/>
      <c r="P65" s="8"/>
      <c r="Q65" s="8"/>
      <c r="R65" s="301"/>
      <c r="S65" s="305">
        <f>H65</f>
        <v>0</v>
      </c>
      <c r="T65" s="145"/>
      <c r="U65" s="13"/>
      <c r="V65" s="373"/>
      <c r="W65" s="107"/>
      <c r="Y65" s="114"/>
    </row>
    <row r="66" spans="1:25" ht="15" customHeight="1" x14ac:dyDescent="0.15">
      <c r="C66" s="182"/>
      <c r="D66" s="210"/>
      <c r="E66" s="184"/>
      <c r="F66" s="225"/>
      <c r="G66" s="297" t="str">
        <f ca="1">IF(OR(AB$8=0,L66="b"),"",IF(L66="l",0,"("&amp;FIXED(-F66,K67,0)&amp;M66))</f>
        <v/>
      </c>
      <c r="H66" s="183"/>
      <c r="I66" s="185"/>
      <c r="L66" t="str">
        <f t="shared" ca="1" si="0"/>
        <v>b</v>
      </c>
      <c r="M66" t="str">
        <f>")"&amp;REPT(" ",2-K67)&amp;IF(K67=0," ","")</f>
        <v xml:space="preserve">)   </v>
      </c>
      <c r="O66" s="194"/>
      <c r="P66" s="6"/>
      <c r="Q66" s="6"/>
      <c r="R66" s="300"/>
      <c r="S66" s="304"/>
      <c r="T66" s="144"/>
      <c r="U66" s="12"/>
      <c r="V66" s="372"/>
      <c r="W66" s="50"/>
    </row>
    <row r="67" spans="1:25" ht="15" customHeight="1" x14ac:dyDescent="0.15">
      <c r="C67" s="186"/>
      <c r="D67" s="205"/>
      <c r="E67" s="188"/>
      <c r="F67" s="226"/>
      <c r="G67" s="296" t="str">
        <f ca="1">IF(L67="b","",IF(L67="l",0,FIXED(F67,K67,0)&amp;M67))</f>
        <v/>
      </c>
      <c r="H67" s="187"/>
      <c r="I67" s="189"/>
      <c r="K67" s="215"/>
      <c r="L67" t="str">
        <f t="shared" ca="1" si="0"/>
        <v>b</v>
      </c>
      <c r="M67" t="str">
        <f>REPT(" ",3-K67)&amp;IF(K67=0," ","")</f>
        <v xml:space="preserve">    </v>
      </c>
      <c r="O67" s="194"/>
      <c r="P67" s="8"/>
      <c r="Q67" s="8"/>
      <c r="R67" s="301"/>
      <c r="S67" s="305">
        <f>H67</f>
        <v>0</v>
      </c>
      <c r="T67" s="145"/>
      <c r="U67" s="13"/>
      <c r="V67" s="373"/>
      <c r="W67" s="107"/>
      <c r="Y67" s="114"/>
    </row>
    <row r="68" spans="1:25" ht="15" customHeight="1" x14ac:dyDescent="0.15">
      <c r="C68" s="182"/>
      <c r="D68" s="210"/>
      <c r="E68" s="184"/>
      <c r="F68" s="225"/>
      <c r="G68" s="297" t="str">
        <f ca="1">IF(OR(AB$8=0,L68="b"),"",IF(L68="l",0,"("&amp;FIXED(-F68,K69,0)&amp;M68))</f>
        <v/>
      </c>
      <c r="H68" s="183"/>
      <c r="I68" s="185"/>
      <c r="L68" t="str">
        <f t="shared" ca="1" si="0"/>
        <v>b</v>
      </c>
      <c r="M68" t="str">
        <f>")"&amp;REPT(" ",2-K69)&amp;IF(K69=0," ","")</f>
        <v xml:space="preserve">)   </v>
      </c>
      <c r="O68" s="194"/>
      <c r="P68" s="6"/>
      <c r="Q68" s="6"/>
      <c r="R68" s="300"/>
      <c r="S68" s="304"/>
      <c r="T68" s="144"/>
      <c r="U68" s="12"/>
      <c r="V68" s="372"/>
      <c r="W68" s="50"/>
    </row>
    <row r="69" spans="1:25" ht="15" customHeight="1" x14ac:dyDescent="0.15">
      <c r="C69" s="186"/>
      <c r="D69" s="205">
        <v>2</v>
      </c>
      <c r="E69" s="188"/>
      <c r="F69" s="226"/>
      <c r="G69" s="296" t="str">
        <f ca="1">IF(L69="b","",IF(L69="l",0,FIXED(F69,K69,0)&amp;M69))</f>
        <v/>
      </c>
      <c r="H69" s="187"/>
      <c r="I69" s="189"/>
      <c r="K69" s="215"/>
      <c r="L69" t="str">
        <f t="shared" ca="1" si="0"/>
        <v>b</v>
      </c>
      <c r="M69" t="str">
        <f>REPT(" ",3-K69)&amp;IF(K69=0," ","")</f>
        <v xml:space="preserve">    </v>
      </c>
      <c r="O69" s="194"/>
      <c r="P69" s="8"/>
      <c r="Q69" s="8"/>
      <c r="R69" s="301"/>
      <c r="S69" s="305">
        <f>H69</f>
        <v>0</v>
      </c>
      <c r="T69" s="145"/>
      <c r="U69" s="13"/>
      <c r="V69" s="373"/>
      <c r="W69" s="107"/>
      <c r="Y69" s="114"/>
    </row>
    <row r="70" spans="1:25" ht="15" customHeight="1" x14ac:dyDescent="0.15">
      <c r="C70" s="182"/>
      <c r="D70" s="210"/>
      <c r="E70" s="184"/>
      <c r="F70" s="225"/>
      <c r="G70" s="297" t="str">
        <f ca="1">IF(OR(AB$8=0,L70="b"),"",IF(L70="l",0,"("&amp;FIXED(-F70,K71,0)&amp;M70))</f>
        <v/>
      </c>
      <c r="H70" s="183"/>
      <c r="I70" s="185"/>
      <c r="L70" t="str">
        <f t="shared" ca="1" si="0"/>
        <v>b</v>
      </c>
      <c r="M70" t="str">
        <f>")"&amp;REPT(" ",2-K71)&amp;IF(K71=0," ","")</f>
        <v xml:space="preserve">)   </v>
      </c>
      <c r="O70" s="194"/>
      <c r="P70" s="6"/>
      <c r="Q70" s="6"/>
      <c r="R70" s="300"/>
      <c r="S70" s="304"/>
      <c r="T70" s="144"/>
      <c r="U70" s="12"/>
      <c r="V70" s="372"/>
      <c r="W70" s="50"/>
    </row>
    <row r="71" spans="1:25" ht="15" customHeight="1" x14ac:dyDescent="0.15">
      <c r="C71" s="186"/>
      <c r="D71" s="205">
        <v>3</v>
      </c>
      <c r="E71" s="188"/>
      <c r="F71" s="226"/>
      <c r="G71" s="296" t="str">
        <f ca="1">IF(L71="b","",IF(L71="l",0,FIXED(F71,K71,0)&amp;M71))</f>
        <v/>
      </c>
      <c r="H71" s="187"/>
      <c r="I71" s="189"/>
      <c r="K71" s="215"/>
      <c r="L71" t="str">
        <f t="shared" ca="1" si="0"/>
        <v>b</v>
      </c>
      <c r="M71" t="str">
        <f>REPT(" ",3-K71)&amp;IF(K71=0," ","")</f>
        <v xml:space="preserve">    </v>
      </c>
      <c r="O71" s="194"/>
      <c r="P71" s="8"/>
      <c r="Q71" s="8"/>
      <c r="R71" s="301"/>
      <c r="S71" s="305">
        <f>H71</f>
        <v>0</v>
      </c>
      <c r="T71" s="145"/>
      <c r="U71" s="13"/>
      <c r="V71" s="373"/>
      <c r="W71" s="107"/>
      <c r="Y71" s="114"/>
    </row>
    <row r="72" spans="1:25" ht="15" customHeight="1" x14ac:dyDescent="0.15">
      <c r="C72" s="182"/>
      <c r="D72" s="210"/>
      <c r="E72" s="184"/>
      <c r="F72" s="225"/>
      <c r="G72" s="297" t="str">
        <f ca="1">IF(OR(AB$8=0,L72="b"),"",IF(L72="l",0,"("&amp;FIXED(-F72,K73,0)&amp;M72))</f>
        <v/>
      </c>
      <c r="H72" s="183"/>
      <c r="I72" s="185"/>
      <c r="L72" t="str">
        <f t="shared" ca="1" si="0"/>
        <v>b</v>
      </c>
      <c r="M72" t="str">
        <f>")"&amp;REPT(" ",2-K73)&amp;IF(K73=0," ","")</f>
        <v xml:space="preserve">)   </v>
      </c>
      <c r="O72" s="194"/>
      <c r="P72" s="6"/>
      <c r="Q72" s="6"/>
      <c r="R72" s="300"/>
      <c r="S72" s="304"/>
      <c r="T72" s="144"/>
      <c r="U72" s="12"/>
      <c r="V72" s="372"/>
      <c r="W72" s="50"/>
    </row>
    <row r="73" spans="1:25" ht="15" customHeight="1" thickBot="1" x14ac:dyDescent="0.2">
      <c r="C73" s="190"/>
      <c r="D73" s="211"/>
      <c r="E73" s="192"/>
      <c r="F73" s="228"/>
      <c r="G73" s="298" t="str">
        <f ca="1">IF(L73="b","",IF(L73="l",0,FIXED(F73,K73,0)&amp;M73))</f>
        <v/>
      </c>
      <c r="H73" s="191"/>
      <c r="I73" s="193"/>
      <c r="K73" s="215"/>
      <c r="L73" t="str">
        <f t="shared" ca="1" si="0"/>
        <v>b</v>
      </c>
      <c r="M73" t="str">
        <f>REPT(" ",3-K73)&amp;IF(K73=0," ","")</f>
        <v xml:space="preserve">    </v>
      </c>
      <c r="O73" s="254"/>
      <c r="P73" s="29"/>
      <c r="Q73" s="29"/>
      <c r="R73" s="302"/>
      <c r="S73" s="306">
        <f>H73</f>
        <v>0</v>
      </c>
      <c r="T73" s="146"/>
      <c r="U73" s="31"/>
      <c r="V73" s="374"/>
      <c r="W73" s="55"/>
      <c r="Y73" s="114"/>
    </row>
    <row r="74" spans="1:25" ht="13.5" customHeight="1" x14ac:dyDescent="0.15">
      <c r="A74" s="257"/>
      <c r="B74" s="257"/>
      <c r="C74" s="257"/>
      <c r="D74" s="257"/>
      <c r="E74" s="257"/>
      <c r="F74" s="257"/>
      <c r="G74" s="257"/>
      <c r="H74" s="257"/>
      <c r="I74" s="257"/>
      <c r="J74" s="257"/>
      <c r="K74" s="257"/>
      <c r="L74" s="257"/>
      <c r="M74" s="257"/>
      <c r="N74" s="257"/>
      <c r="O74" s="257"/>
      <c r="P74" s="257"/>
      <c r="Q74" s="257"/>
      <c r="R74" s="257"/>
      <c r="S74" s="257"/>
      <c r="T74" s="257"/>
      <c r="U74" s="257"/>
      <c r="V74" s="257"/>
      <c r="W74" s="257"/>
    </row>
    <row r="75" spans="1:25" ht="13.5" customHeight="1" x14ac:dyDescent="0.15">
      <c r="Y75" s="114"/>
    </row>
    <row r="76" spans="1:25" ht="13.5" customHeight="1" x14ac:dyDescent="0.15"/>
    <row r="77" spans="1:25" ht="13.5" customHeight="1" x14ac:dyDescent="0.15">
      <c r="Y77" s="114"/>
    </row>
    <row r="79" spans="1:25" x14ac:dyDescent="0.15">
      <c r="Y79" s="114"/>
    </row>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sheetData>
  <mergeCells count="2">
    <mergeCell ref="O9:O11"/>
    <mergeCell ref="V9:V11"/>
  </mergeCells>
  <phoneticPr fontId="28"/>
  <conditionalFormatting sqref="O17 O19 O21 O23 O25 O27 O29 O31 O33 O35 O37 O39 O41 O43 O45 O47 O49 O51 O53 O55 O57 O59 O61 O63 O65 O67">
    <cfRule type="expression" dxfId="63" priority="1" stopIfTrue="1">
      <formula>D17=1</formula>
    </cfRule>
  </conditionalFormatting>
  <dataValidations count="1">
    <dataValidation imeMode="off" showInputMessage="1" showErrorMessage="1" promptTitle="警告" prompt="計算式が設定されています_x000a_入力を続けますか?" sqref="G12:G73" xr:uid="{00000000-0002-0000-0900-000000000000}"/>
  </dataValidations>
  <pageMargins left="0.70866141732283472" right="0.19685039370078741" top="0.78740157480314965" bottom="0.39370078740157483" header="0" footer="0.19685039370078741"/>
  <pageSetup paperSize="9" scale="78" firstPageNumber="2" orientation="portrait" blackAndWhite="1" useFirstPageNumber="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A1:L69"/>
  <sheetViews>
    <sheetView tabSelected="1" view="pageBreakPreview" zoomScaleNormal="90" zoomScaleSheetLayoutView="100" workbookViewId="0">
      <selection activeCell="I4" sqref="I4"/>
    </sheetView>
  </sheetViews>
  <sheetFormatPr defaultRowHeight="13.5" x14ac:dyDescent="0.15"/>
  <cols>
    <col min="1" max="1" width="3.625" customWidth="1"/>
    <col min="2" max="2" width="20.625" customWidth="1"/>
    <col min="3" max="3" width="22.625" customWidth="1"/>
    <col min="4" max="4" width="11.625" customWidth="1"/>
    <col min="5" max="5" width="4.625" customWidth="1"/>
    <col min="6" max="6" width="10.625" customWidth="1"/>
    <col min="7" max="7" width="15.625" customWidth="1"/>
    <col min="8" max="8" width="7.625" customWidth="1"/>
    <col min="9" max="9" width="19.625" customWidth="1"/>
    <col min="11" max="11" width="18.625" customWidth="1"/>
    <col min="12" max="12" width="11.625" bestFit="1" customWidth="1"/>
    <col min="13" max="13" width="10.5" bestFit="1" customWidth="1"/>
  </cols>
  <sheetData>
    <row r="1" spans="1:12" x14ac:dyDescent="0.15">
      <c r="A1" s="16"/>
      <c r="B1" s="17"/>
      <c r="C1" s="17"/>
      <c r="D1" s="18"/>
      <c r="E1" s="17"/>
      <c r="F1" s="18"/>
      <c r="G1" s="18"/>
      <c r="H1" s="18"/>
      <c r="I1" s="19"/>
    </row>
    <row r="2" spans="1:12" ht="18.75" x14ac:dyDescent="0.15">
      <c r="A2" s="777" t="s">
        <v>425</v>
      </c>
      <c r="B2" s="778"/>
      <c r="C2" s="778"/>
      <c r="D2" s="778"/>
      <c r="E2" s="778"/>
      <c r="F2" s="778"/>
      <c r="G2" s="778"/>
      <c r="H2" s="778"/>
      <c r="I2" s="779"/>
    </row>
    <row r="3" spans="1:12" ht="17.25" x14ac:dyDescent="0.2">
      <c r="A3" s="23"/>
      <c r="B3" s="20"/>
      <c r="C3" s="460">
        <f>G32</f>
        <v>0</v>
      </c>
      <c r="D3" s="21"/>
      <c r="E3" s="20"/>
      <c r="F3" s="21"/>
      <c r="G3" s="21"/>
      <c r="H3" s="21"/>
      <c r="I3" s="701"/>
    </row>
    <row r="4" spans="1:12" ht="17.25" x14ac:dyDescent="0.15">
      <c r="A4" s="23"/>
      <c r="B4" s="20"/>
      <c r="C4" s="459"/>
      <c r="D4" s="21"/>
      <c r="E4" s="20"/>
      <c r="F4" s="21"/>
      <c r="G4" s="21"/>
      <c r="H4" s="21"/>
      <c r="I4" s="686" t="s">
        <v>826</v>
      </c>
    </row>
    <row r="5" spans="1:12" ht="13.5" customHeight="1" x14ac:dyDescent="0.15">
      <c r="A5" s="751" t="s">
        <v>258</v>
      </c>
      <c r="B5" s="4"/>
      <c r="C5" s="4"/>
      <c r="D5" s="5"/>
      <c r="E5" s="4"/>
      <c r="F5" s="648"/>
      <c r="G5" s="648"/>
      <c r="H5" s="774" t="s">
        <v>257</v>
      </c>
      <c r="I5" s="105"/>
    </row>
    <row r="6" spans="1:12" x14ac:dyDescent="0.15">
      <c r="A6" s="752"/>
      <c r="B6" s="6" t="s">
        <v>89</v>
      </c>
      <c r="C6" s="6" t="s">
        <v>90</v>
      </c>
      <c r="D6" s="7" t="s">
        <v>91</v>
      </c>
      <c r="E6" s="6" t="s">
        <v>92</v>
      </c>
      <c r="F6" s="6" t="s">
        <v>93</v>
      </c>
      <c r="G6" s="6" t="s">
        <v>94</v>
      </c>
      <c r="H6" s="775"/>
      <c r="I6" s="106" t="s">
        <v>95</v>
      </c>
    </row>
    <row r="7" spans="1:12" ht="14.25" thickBot="1" x14ac:dyDescent="0.2">
      <c r="A7" s="753"/>
      <c r="B7" s="39"/>
      <c r="C7" s="39"/>
      <c r="D7" s="40"/>
      <c r="E7" s="39"/>
      <c r="F7" s="56" t="s">
        <v>96</v>
      </c>
      <c r="G7" s="56" t="s">
        <v>96</v>
      </c>
      <c r="H7" s="776"/>
      <c r="I7" s="52"/>
    </row>
    <row r="8" spans="1:12" ht="15" customHeight="1" thickTop="1" x14ac:dyDescent="0.15">
      <c r="A8" s="23"/>
      <c r="B8" s="6"/>
      <c r="C8" s="6"/>
      <c r="D8" s="287"/>
      <c r="E8" s="6"/>
      <c r="F8" s="12"/>
      <c r="G8" s="229"/>
      <c r="H8" s="734" t="s">
        <v>710</v>
      </c>
      <c r="I8" s="50"/>
    </row>
    <row r="9" spans="1:12" ht="15" customHeight="1" x14ac:dyDescent="0.15">
      <c r="A9" s="23"/>
      <c r="B9" s="8" t="s">
        <v>361</v>
      </c>
      <c r="C9" s="8"/>
      <c r="D9" s="288">
        <v>1</v>
      </c>
      <c r="E9" s="8" t="s">
        <v>99</v>
      </c>
      <c r="F9" s="13"/>
      <c r="G9" s="702"/>
      <c r="H9" s="735" t="s">
        <v>789</v>
      </c>
      <c r="I9" s="139"/>
      <c r="L9" s="529"/>
    </row>
    <row r="10" spans="1:12" ht="15" customHeight="1" x14ac:dyDescent="0.15">
      <c r="A10" s="23"/>
      <c r="B10" s="6"/>
      <c r="C10" s="6"/>
      <c r="D10" s="287"/>
      <c r="E10" s="6"/>
      <c r="F10" s="12"/>
      <c r="G10" s="229"/>
      <c r="H10" s="734" t="s">
        <v>829</v>
      </c>
      <c r="I10" s="50"/>
      <c r="L10" s="529"/>
    </row>
    <row r="11" spans="1:12" ht="15" customHeight="1" x14ac:dyDescent="0.15">
      <c r="A11" s="23"/>
      <c r="B11" s="8" t="s">
        <v>786</v>
      </c>
      <c r="C11" s="8"/>
      <c r="D11" s="288">
        <v>1</v>
      </c>
      <c r="E11" s="8" t="s">
        <v>99</v>
      </c>
      <c r="F11" s="13"/>
      <c r="G11" s="702"/>
      <c r="H11" s="735" t="s">
        <v>789</v>
      </c>
      <c r="I11" s="108"/>
      <c r="L11" s="529"/>
    </row>
    <row r="12" spans="1:12" ht="15" customHeight="1" x14ac:dyDescent="0.15">
      <c r="A12" s="23"/>
      <c r="B12" s="6"/>
      <c r="C12" s="6"/>
      <c r="D12" s="287"/>
      <c r="E12" s="6"/>
      <c r="F12" s="12"/>
      <c r="G12" s="229"/>
      <c r="H12" s="656"/>
      <c r="I12" s="50"/>
      <c r="K12" s="113"/>
      <c r="L12" s="529"/>
    </row>
    <row r="13" spans="1:12" ht="15" customHeight="1" x14ac:dyDescent="0.15">
      <c r="A13" s="23"/>
      <c r="B13" s="8"/>
      <c r="C13" s="8"/>
      <c r="D13" s="288"/>
      <c r="E13" s="8"/>
      <c r="F13" s="13"/>
      <c r="G13" s="13"/>
      <c r="H13" s="657"/>
      <c r="I13" s="141"/>
      <c r="K13" s="113"/>
      <c r="L13" s="529"/>
    </row>
    <row r="14" spans="1:12" ht="15" customHeight="1" x14ac:dyDescent="0.15">
      <c r="A14" s="23"/>
      <c r="B14" s="6"/>
      <c r="C14" s="6"/>
      <c r="D14" s="287"/>
      <c r="E14" s="6"/>
      <c r="F14" s="12"/>
      <c r="G14" s="229"/>
      <c r="H14" s="656"/>
      <c r="I14" s="50"/>
      <c r="K14" s="113"/>
      <c r="L14" s="529"/>
    </row>
    <row r="15" spans="1:12" ht="15" customHeight="1" x14ac:dyDescent="0.15">
      <c r="A15" s="23"/>
      <c r="B15" s="8"/>
      <c r="C15" s="8"/>
      <c r="D15" s="288"/>
      <c r="E15" s="8"/>
      <c r="F15" s="13"/>
      <c r="G15" s="13"/>
      <c r="H15" s="657"/>
      <c r="I15" s="141"/>
      <c r="K15" s="113"/>
      <c r="L15" s="529"/>
    </row>
    <row r="16" spans="1:12" ht="15" customHeight="1" x14ac:dyDescent="0.15">
      <c r="A16" s="23"/>
      <c r="B16" s="6"/>
      <c r="C16" s="6"/>
      <c r="D16" s="287"/>
      <c r="E16" s="6"/>
      <c r="F16" s="12"/>
      <c r="G16" s="229"/>
      <c r="H16" s="656"/>
      <c r="I16" s="50"/>
      <c r="K16" s="113"/>
      <c r="L16" s="529"/>
    </row>
    <row r="17" spans="1:12" ht="15" customHeight="1" x14ac:dyDescent="0.15">
      <c r="A17" s="23"/>
      <c r="B17" s="8"/>
      <c r="C17" s="8"/>
      <c r="D17" s="288"/>
      <c r="E17" s="8"/>
      <c r="F17" s="13"/>
      <c r="G17" s="13"/>
      <c r="H17" s="657"/>
      <c r="I17" s="141"/>
      <c r="K17" s="113"/>
      <c r="L17" s="529"/>
    </row>
    <row r="18" spans="1:12" ht="15" customHeight="1" x14ac:dyDescent="0.15">
      <c r="A18" s="23"/>
      <c r="B18" s="6"/>
      <c r="C18" s="6"/>
      <c r="D18" s="287"/>
      <c r="E18" s="6"/>
      <c r="F18" s="12"/>
      <c r="G18" s="229"/>
      <c r="H18" s="656"/>
      <c r="I18" s="50"/>
      <c r="K18" s="113"/>
      <c r="L18" s="529"/>
    </row>
    <row r="19" spans="1:12" ht="15" customHeight="1" x14ac:dyDescent="0.15">
      <c r="A19" s="23"/>
      <c r="B19" s="8"/>
      <c r="C19" s="8"/>
      <c r="D19" s="288"/>
      <c r="E19" s="8"/>
      <c r="F19" s="13"/>
      <c r="G19" s="13"/>
      <c r="H19" s="657"/>
      <c r="I19" s="141"/>
      <c r="K19" s="113"/>
      <c r="L19" s="529"/>
    </row>
    <row r="20" spans="1:12" ht="15" customHeight="1" x14ac:dyDescent="0.15">
      <c r="A20" s="23"/>
      <c r="B20" s="6"/>
      <c r="C20" s="6"/>
      <c r="D20" s="287"/>
      <c r="E20" s="6"/>
      <c r="F20" s="12"/>
      <c r="G20" s="229"/>
      <c r="H20" s="656"/>
      <c r="I20" s="50"/>
      <c r="K20" s="113"/>
      <c r="L20" s="529"/>
    </row>
    <row r="21" spans="1:12" ht="15" customHeight="1" x14ac:dyDescent="0.15">
      <c r="A21" s="23"/>
      <c r="B21" s="8"/>
      <c r="C21" s="8"/>
      <c r="D21" s="288"/>
      <c r="E21" s="8"/>
      <c r="F21" s="13"/>
      <c r="G21" s="13"/>
      <c r="H21" s="657"/>
      <c r="I21" s="141"/>
      <c r="K21" s="113"/>
      <c r="L21" s="529"/>
    </row>
    <row r="22" spans="1:12" ht="15" customHeight="1" x14ac:dyDescent="0.15">
      <c r="A22" s="23"/>
      <c r="B22" s="6"/>
      <c r="C22" s="6"/>
      <c r="D22" s="287"/>
      <c r="E22" s="6"/>
      <c r="F22" s="12"/>
      <c r="G22" s="229"/>
      <c r="H22" s="656"/>
      <c r="I22" s="50"/>
      <c r="K22" s="113"/>
      <c r="L22" s="529"/>
    </row>
    <row r="23" spans="1:12" ht="15" customHeight="1" x14ac:dyDescent="0.15">
      <c r="A23" s="23"/>
      <c r="B23" s="8"/>
      <c r="C23" s="8"/>
      <c r="D23" s="288"/>
      <c r="E23" s="8"/>
      <c r="F23" s="739"/>
      <c r="G23" s="13"/>
      <c r="H23" s="657"/>
      <c r="I23" s="141"/>
      <c r="K23" s="113"/>
      <c r="L23" s="529"/>
    </row>
    <row r="24" spans="1:12" ht="15" customHeight="1" x14ac:dyDescent="0.15">
      <c r="A24" s="23"/>
      <c r="B24" s="6"/>
      <c r="C24" s="6"/>
      <c r="D24" s="287"/>
      <c r="E24" s="6"/>
      <c r="F24" s="12"/>
      <c r="G24" s="229"/>
      <c r="H24" s="656"/>
      <c r="I24" s="50"/>
      <c r="K24" s="113"/>
      <c r="L24" s="529"/>
    </row>
    <row r="25" spans="1:12" ht="15" customHeight="1" x14ac:dyDescent="0.15">
      <c r="A25" s="23"/>
      <c r="B25" s="8"/>
      <c r="C25" s="8"/>
      <c r="D25" s="288"/>
      <c r="E25" s="8"/>
      <c r="F25" s="13"/>
      <c r="G25" s="13"/>
      <c r="H25" s="657"/>
      <c r="I25" s="141"/>
      <c r="K25" s="113"/>
      <c r="L25" s="529"/>
    </row>
    <row r="26" spans="1:12" ht="15" customHeight="1" x14ac:dyDescent="0.15">
      <c r="A26" s="23"/>
      <c r="B26" s="6"/>
      <c r="C26" s="6"/>
      <c r="D26" s="287"/>
      <c r="E26" s="6"/>
      <c r="F26" s="12"/>
      <c r="G26" s="229"/>
      <c r="H26" s="656"/>
      <c r="I26" s="50"/>
      <c r="K26" s="113"/>
      <c r="L26" s="529"/>
    </row>
    <row r="27" spans="1:12" ht="15" customHeight="1" x14ac:dyDescent="0.15">
      <c r="A27" s="23"/>
      <c r="B27" s="8"/>
      <c r="C27" s="8"/>
      <c r="D27" s="288"/>
      <c r="E27" s="8"/>
      <c r="F27" s="13"/>
      <c r="G27" s="13"/>
      <c r="H27" s="657"/>
      <c r="I27" s="141"/>
      <c r="K27" s="113"/>
      <c r="L27" s="529"/>
    </row>
    <row r="28" spans="1:12" ht="15" customHeight="1" x14ac:dyDescent="0.15">
      <c r="A28" s="23"/>
      <c r="B28" s="6"/>
      <c r="C28" s="6"/>
      <c r="D28" s="287"/>
      <c r="E28" s="6"/>
      <c r="F28" s="12"/>
      <c r="G28" s="229"/>
      <c r="H28" s="10"/>
      <c r="I28" s="50"/>
      <c r="K28" s="113"/>
    </row>
    <row r="29" spans="1:12" ht="15" customHeight="1" x14ac:dyDescent="0.15">
      <c r="A29" s="23"/>
      <c r="B29" s="8"/>
      <c r="C29" s="8"/>
      <c r="D29" s="288"/>
      <c r="E29" s="8"/>
      <c r="F29" s="13"/>
      <c r="G29" s="13"/>
      <c r="H29" s="9"/>
      <c r="I29" s="141"/>
      <c r="K29" s="113"/>
    </row>
    <row r="30" spans="1:12" ht="15" customHeight="1" x14ac:dyDescent="0.15">
      <c r="A30" s="23"/>
      <c r="B30" s="6"/>
      <c r="C30" s="6"/>
      <c r="D30" s="287"/>
      <c r="E30" s="6"/>
      <c r="F30" s="12"/>
      <c r="G30" s="229"/>
      <c r="H30" s="10"/>
      <c r="I30" s="50"/>
    </row>
    <row r="31" spans="1:12" ht="15" customHeight="1" x14ac:dyDescent="0.15">
      <c r="A31" s="23"/>
      <c r="B31" s="8"/>
      <c r="C31" s="8"/>
      <c r="D31" s="288"/>
      <c r="E31" s="8"/>
      <c r="F31" s="13"/>
      <c r="G31" s="13"/>
      <c r="H31" s="9"/>
      <c r="I31" s="107"/>
    </row>
    <row r="32" spans="1:12" ht="15" customHeight="1" x14ac:dyDescent="0.15">
      <c r="A32" s="23"/>
      <c r="B32" s="6"/>
      <c r="C32" s="6"/>
      <c r="D32" s="287"/>
      <c r="E32" s="6"/>
      <c r="F32" s="12"/>
      <c r="G32" s="229"/>
      <c r="H32" s="10"/>
      <c r="I32" s="50"/>
    </row>
    <row r="33" spans="1:12" ht="15" customHeight="1" x14ac:dyDescent="0.15">
      <c r="A33" s="23"/>
      <c r="B33" s="8"/>
      <c r="C33" s="8"/>
      <c r="D33" s="288"/>
      <c r="E33" s="8"/>
      <c r="F33" s="13"/>
      <c r="G33" s="702"/>
      <c r="H33" s="9"/>
      <c r="I33" s="107"/>
      <c r="L33" s="649"/>
    </row>
    <row r="34" spans="1:12" ht="15" customHeight="1" x14ac:dyDescent="0.15">
      <c r="A34" s="23"/>
      <c r="B34" s="6"/>
      <c r="C34" s="6"/>
      <c r="D34" s="287"/>
      <c r="E34" s="6"/>
      <c r="F34" s="12"/>
      <c r="G34" s="12"/>
      <c r="H34" s="10"/>
      <c r="I34" s="50"/>
    </row>
    <row r="35" spans="1:12" ht="15" customHeight="1" x14ac:dyDescent="0.15">
      <c r="A35" s="23"/>
      <c r="B35" s="8"/>
      <c r="C35" s="8"/>
      <c r="D35" s="288"/>
      <c r="E35" s="8"/>
      <c r="F35" s="13"/>
      <c r="G35" s="702"/>
      <c r="H35" s="9"/>
      <c r="I35" s="107"/>
      <c r="L35" s="649"/>
    </row>
    <row r="36" spans="1:12" ht="15" customHeight="1" x14ac:dyDescent="0.15">
      <c r="A36" s="23"/>
      <c r="B36" s="6"/>
      <c r="C36" s="6"/>
      <c r="D36" s="287"/>
      <c r="E36" s="6"/>
      <c r="F36" s="12"/>
      <c r="G36" s="12"/>
      <c r="H36" s="10"/>
      <c r="I36" s="50"/>
    </row>
    <row r="37" spans="1:12" ht="15" customHeight="1" x14ac:dyDescent="0.15">
      <c r="A37" s="23"/>
      <c r="B37" s="8"/>
      <c r="C37" s="8"/>
      <c r="D37" s="288"/>
      <c r="E37" s="8"/>
      <c r="F37" s="13"/>
      <c r="G37" s="13"/>
      <c r="H37" s="9"/>
      <c r="I37" s="107"/>
    </row>
    <row r="38" spans="1:12" ht="15" customHeight="1" x14ac:dyDescent="0.15">
      <c r="A38" s="23"/>
      <c r="B38" s="6"/>
      <c r="C38" s="6"/>
      <c r="D38" s="287"/>
      <c r="E38" s="6"/>
      <c r="F38" s="12"/>
      <c r="G38" s="12"/>
      <c r="H38" s="10"/>
      <c r="I38" s="50"/>
    </row>
    <row r="39" spans="1:12" ht="15" customHeight="1" x14ac:dyDescent="0.15">
      <c r="A39" s="23"/>
      <c r="B39" s="8"/>
      <c r="C39" s="8"/>
      <c r="D39" s="288"/>
      <c r="E39" s="8"/>
      <c r="F39" s="13"/>
      <c r="G39" s="13"/>
      <c r="H39" s="9"/>
      <c r="I39" s="107"/>
    </row>
    <row r="40" spans="1:12" ht="15" customHeight="1" x14ac:dyDescent="0.15">
      <c r="A40" s="23"/>
      <c r="B40" s="6"/>
      <c r="C40" s="6"/>
      <c r="D40" s="287"/>
      <c r="E40" s="6"/>
      <c r="F40" s="12"/>
      <c r="G40" s="12"/>
      <c r="H40" s="10"/>
      <c r="I40" s="50"/>
    </row>
    <row r="41" spans="1:12" ht="15" customHeight="1" x14ac:dyDescent="0.15">
      <c r="A41" s="23"/>
      <c r="B41" s="8"/>
      <c r="C41" s="8"/>
      <c r="D41" s="288"/>
      <c r="E41" s="8"/>
      <c r="F41" s="13"/>
      <c r="G41" s="13"/>
      <c r="H41" s="9"/>
      <c r="I41" s="107"/>
    </row>
    <row r="42" spans="1:12" ht="15" customHeight="1" x14ac:dyDescent="0.15">
      <c r="A42" s="23"/>
      <c r="B42" s="6"/>
      <c r="C42" s="6"/>
      <c r="D42" s="287"/>
      <c r="E42" s="6"/>
      <c r="F42" s="12"/>
      <c r="G42" s="12"/>
      <c r="H42" s="10"/>
      <c r="I42" s="50"/>
    </row>
    <row r="43" spans="1:12" ht="15" customHeight="1" x14ac:dyDescent="0.15">
      <c r="A43" s="23"/>
      <c r="B43" s="8"/>
      <c r="C43" s="8"/>
      <c r="D43" s="288"/>
      <c r="E43" s="8"/>
      <c r="F43" s="13"/>
      <c r="G43" s="13"/>
      <c r="H43" s="9"/>
      <c r="I43" s="107"/>
    </row>
    <row r="44" spans="1:12" ht="15" customHeight="1" x14ac:dyDescent="0.15">
      <c r="A44" s="23"/>
      <c r="B44" s="6"/>
      <c r="C44" s="6"/>
      <c r="D44" s="287"/>
      <c r="E44" s="6"/>
      <c r="F44" s="12"/>
      <c r="G44" s="12"/>
      <c r="H44" s="10"/>
      <c r="I44" s="50"/>
    </row>
    <row r="45" spans="1:12" ht="15" customHeight="1" x14ac:dyDescent="0.15">
      <c r="A45" s="23"/>
      <c r="B45" s="8"/>
      <c r="C45" s="8"/>
      <c r="D45" s="288"/>
      <c r="E45" s="8"/>
      <c r="F45" s="13"/>
      <c r="G45" s="13"/>
      <c r="H45" s="9"/>
      <c r="I45" s="107"/>
    </row>
    <row r="46" spans="1:12" ht="15" customHeight="1" x14ac:dyDescent="0.15">
      <c r="A46" s="23"/>
      <c r="B46" s="6"/>
      <c r="C46" s="6"/>
      <c r="D46" s="287"/>
      <c r="E46" s="6"/>
      <c r="F46" s="12"/>
      <c r="G46" s="12"/>
      <c r="H46" s="10"/>
      <c r="I46" s="50"/>
    </row>
    <row r="47" spans="1:12" ht="15" customHeight="1" x14ac:dyDescent="0.15">
      <c r="A47" s="23"/>
      <c r="B47" s="8"/>
      <c r="C47" s="8"/>
      <c r="D47" s="288"/>
      <c r="E47" s="8"/>
      <c r="F47" s="13"/>
      <c r="G47" s="13"/>
      <c r="H47" s="9"/>
      <c r="I47" s="107"/>
    </row>
    <row r="48" spans="1:12" ht="15" customHeight="1" x14ac:dyDescent="0.15">
      <c r="A48" s="23"/>
      <c r="B48" s="6"/>
      <c r="C48" s="6"/>
      <c r="D48" s="287"/>
      <c r="E48" s="6"/>
      <c r="F48" s="12"/>
      <c r="G48" s="12"/>
      <c r="H48" s="10"/>
      <c r="I48" s="50"/>
    </row>
    <row r="49" spans="1:9" ht="15" customHeight="1" x14ac:dyDescent="0.15">
      <c r="A49" s="23"/>
      <c r="B49" s="8"/>
      <c r="C49" s="8"/>
      <c r="D49" s="288"/>
      <c r="E49" s="8"/>
      <c r="F49" s="13"/>
      <c r="G49" s="13"/>
      <c r="H49" s="9"/>
      <c r="I49" s="107"/>
    </row>
    <row r="50" spans="1:9" ht="15" customHeight="1" x14ac:dyDescent="0.15">
      <c r="A50" s="23"/>
      <c r="B50" s="6"/>
      <c r="C50" s="6"/>
      <c r="D50" s="287"/>
      <c r="E50" s="6"/>
      <c r="F50" s="12"/>
      <c r="G50" s="12"/>
      <c r="H50" s="10"/>
      <c r="I50" s="50"/>
    </row>
    <row r="51" spans="1:9" ht="15" customHeight="1" x14ac:dyDescent="0.15">
      <c r="A51" s="23"/>
      <c r="B51" s="8"/>
      <c r="C51" s="8"/>
      <c r="D51" s="288"/>
      <c r="E51" s="8"/>
      <c r="F51" s="13"/>
      <c r="G51" s="13"/>
      <c r="H51" s="9"/>
      <c r="I51" s="107"/>
    </row>
    <row r="52" spans="1:9" ht="15" customHeight="1" x14ac:dyDescent="0.15">
      <c r="A52" s="23"/>
      <c r="B52" s="6"/>
      <c r="C52" s="6"/>
      <c r="D52" s="287"/>
      <c r="E52" s="6"/>
      <c r="F52" s="12"/>
      <c r="G52" s="12"/>
      <c r="H52" s="10"/>
      <c r="I52" s="50"/>
    </row>
    <row r="53" spans="1:9" ht="15" customHeight="1" x14ac:dyDescent="0.15">
      <c r="A53" s="23"/>
      <c r="B53" s="8"/>
      <c r="C53" s="8"/>
      <c r="D53" s="288"/>
      <c r="E53" s="8"/>
      <c r="F53" s="13"/>
      <c r="G53" s="13"/>
      <c r="H53" s="9"/>
      <c r="I53" s="107"/>
    </row>
    <row r="54" spans="1:9" ht="15" customHeight="1" x14ac:dyDescent="0.15">
      <c r="A54" s="23"/>
      <c r="B54" s="6"/>
      <c r="C54" s="6"/>
      <c r="D54" s="287"/>
      <c r="E54" s="6"/>
      <c r="F54" s="12"/>
      <c r="G54" s="12"/>
      <c r="H54" s="10"/>
      <c r="I54" s="50"/>
    </row>
    <row r="55" spans="1:9" ht="15" customHeight="1" x14ac:dyDescent="0.15">
      <c r="A55" s="23"/>
      <c r="B55" s="8"/>
      <c r="C55" s="8"/>
      <c r="D55" s="288"/>
      <c r="E55" s="8"/>
      <c r="F55" s="13"/>
      <c r="G55" s="13"/>
      <c r="H55" s="9"/>
      <c r="I55" s="107"/>
    </row>
    <row r="56" spans="1:9" ht="15" customHeight="1" x14ac:dyDescent="0.15">
      <c r="A56" s="23"/>
      <c r="B56" s="6"/>
      <c r="C56" s="6"/>
      <c r="D56" s="287"/>
      <c r="E56" s="6"/>
      <c r="F56" s="12"/>
      <c r="G56" s="12"/>
      <c r="H56" s="10"/>
      <c r="I56" s="50"/>
    </row>
    <row r="57" spans="1:9" ht="15" customHeight="1" x14ac:dyDescent="0.15">
      <c r="A57" s="23"/>
      <c r="B57" s="8"/>
      <c r="C57" s="8"/>
      <c r="D57" s="288"/>
      <c r="E57" s="8"/>
      <c r="F57" s="13"/>
      <c r="G57" s="13"/>
      <c r="H57" s="9"/>
      <c r="I57" s="107"/>
    </row>
    <row r="58" spans="1:9" ht="15" customHeight="1" x14ac:dyDescent="0.15">
      <c r="A58" s="23"/>
      <c r="B58" s="6"/>
      <c r="C58" s="6"/>
      <c r="D58" s="287"/>
      <c r="E58" s="6"/>
      <c r="F58" s="12"/>
      <c r="G58" s="12"/>
      <c r="H58" s="10"/>
      <c r="I58" s="50"/>
    </row>
    <row r="59" spans="1:9" ht="15" customHeight="1" x14ac:dyDescent="0.15">
      <c r="A59" s="23"/>
      <c r="B59" s="8"/>
      <c r="C59" s="8"/>
      <c r="D59" s="288"/>
      <c r="E59" s="8"/>
      <c r="F59" s="13"/>
      <c r="G59" s="13"/>
      <c r="H59" s="9"/>
      <c r="I59" s="107"/>
    </row>
    <row r="60" spans="1:9" ht="15" customHeight="1" x14ac:dyDescent="0.15">
      <c r="A60" s="23"/>
      <c r="B60" s="6"/>
      <c r="C60" s="6"/>
      <c r="D60" s="287"/>
      <c r="E60" s="6"/>
      <c r="F60" s="12"/>
      <c r="G60" s="12"/>
      <c r="H60" s="10"/>
      <c r="I60" s="50"/>
    </row>
    <row r="61" spans="1:9" ht="15" customHeight="1" x14ac:dyDescent="0.15">
      <c r="A61" s="23"/>
      <c r="B61" s="8"/>
      <c r="C61" s="8"/>
      <c r="D61" s="288"/>
      <c r="E61" s="8"/>
      <c r="F61" s="13"/>
      <c r="G61" s="13"/>
      <c r="H61" s="9"/>
      <c r="I61" s="107"/>
    </row>
    <row r="62" spans="1:9" ht="15" customHeight="1" x14ac:dyDescent="0.15">
      <c r="A62" s="23"/>
      <c r="B62" s="6"/>
      <c r="C62" s="6"/>
      <c r="D62" s="287"/>
      <c r="E62" s="6"/>
      <c r="F62" s="12"/>
      <c r="G62" s="12"/>
      <c r="H62" s="10"/>
      <c r="I62" s="50"/>
    </row>
    <row r="63" spans="1:9" ht="15" customHeight="1" x14ac:dyDescent="0.15">
      <c r="A63" s="23"/>
      <c r="B63" s="8"/>
      <c r="C63" s="8"/>
      <c r="D63" s="288"/>
      <c r="E63" s="8"/>
      <c r="F63" s="13"/>
      <c r="G63" s="13"/>
      <c r="H63" s="9"/>
      <c r="I63" s="107"/>
    </row>
    <row r="64" spans="1:9" ht="15" customHeight="1" x14ac:dyDescent="0.15">
      <c r="A64" s="23"/>
      <c r="B64" s="6"/>
      <c r="C64" s="6"/>
      <c r="D64" s="287"/>
      <c r="E64" s="6"/>
      <c r="F64" s="12"/>
      <c r="G64" s="12"/>
      <c r="H64" s="10"/>
      <c r="I64" s="50"/>
    </row>
    <row r="65" spans="1:9" ht="15" customHeight="1" x14ac:dyDescent="0.15">
      <c r="A65" s="23"/>
      <c r="B65" s="8"/>
      <c r="C65" s="8"/>
      <c r="D65" s="288"/>
      <c r="E65" s="8"/>
      <c r="F65" s="13"/>
      <c r="G65" s="13"/>
      <c r="H65" s="9"/>
      <c r="I65" s="107"/>
    </row>
    <row r="66" spans="1:9" ht="15" customHeight="1" x14ac:dyDescent="0.15">
      <c r="A66" s="23"/>
      <c r="B66" s="6"/>
      <c r="C66" s="6"/>
      <c r="D66" s="287"/>
      <c r="E66" s="6"/>
      <c r="F66" s="12"/>
      <c r="G66" s="12"/>
      <c r="H66" s="10"/>
      <c r="I66" s="50"/>
    </row>
    <row r="67" spans="1:9" ht="15" customHeight="1" x14ac:dyDescent="0.15">
      <c r="A67" s="23"/>
      <c r="B67" s="8"/>
      <c r="C67" s="8"/>
      <c r="D67" s="288"/>
      <c r="E67" s="8"/>
      <c r="F67" s="13"/>
      <c r="G67" s="13"/>
      <c r="H67" s="9"/>
      <c r="I67" s="107"/>
    </row>
    <row r="68" spans="1:9" ht="15" customHeight="1" x14ac:dyDescent="0.15">
      <c r="A68" s="23"/>
      <c r="B68" s="6"/>
      <c r="C68" s="6"/>
      <c r="D68" s="287"/>
      <c r="E68" s="6"/>
      <c r="F68" s="12"/>
      <c r="G68" s="12"/>
      <c r="H68" s="10"/>
      <c r="I68" s="50"/>
    </row>
    <row r="69" spans="1:9" ht="15" customHeight="1" thickBot="1" x14ac:dyDescent="0.2">
      <c r="A69" s="28"/>
      <c r="B69" s="29"/>
      <c r="C69" s="29"/>
      <c r="D69" s="289"/>
      <c r="E69" s="29"/>
      <c r="F69" s="31"/>
      <c r="G69" s="31"/>
      <c r="H69" s="30"/>
      <c r="I69" s="55"/>
    </row>
  </sheetData>
  <mergeCells count="3">
    <mergeCell ref="A5:A7"/>
    <mergeCell ref="H5:H7"/>
    <mergeCell ref="A2:I2"/>
  </mergeCells>
  <phoneticPr fontId="28"/>
  <pageMargins left="0.70866141732283472" right="0.19685039370078741" top="0.78740157480314965" bottom="0.39370078740157483" header="0" footer="0.19685039370078741"/>
  <pageSetup paperSize="9" scale="78" firstPageNumber="2" orientation="portrait" blackAndWhite="1" useFirstPageNumber="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tabColor rgb="FFFF0000"/>
  </sheetPr>
  <dimension ref="A1:M140"/>
  <sheetViews>
    <sheetView view="pageBreakPreview" zoomScaleNormal="90" zoomScaleSheetLayoutView="100" workbookViewId="0">
      <selection activeCell="C12" sqref="C12"/>
    </sheetView>
  </sheetViews>
  <sheetFormatPr defaultRowHeight="13.5" x14ac:dyDescent="0.15"/>
  <cols>
    <col min="1" max="1" width="3.625" customWidth="1"/>
    <col min="2" max="2" width="20.625" customWidth="1"/>
    <col min="3" max="3" width="24.625" customWidth="1"/>
    <col min="4" max="4" width="12.125" customWidth="1"/>
    <col min="5" max="5" width="4.625" customWidth="1"/>
    <col min="6" max="6" width="10.625" customWidth="1"/>
    <col min="7" max="7" width="15.625" customWidth="1"/>
    <col min="8" max="8" width="8.625" customWidth="1"/>
    <col min="9" max="9" width="16.625" customWidth="1"/>
    <col min="11" max="14" width="9.625" customWidth="1"/>
  </cols>
  <sheetData>
    <row r="1" spans="1:12" x14ac:dyDescent="0.15">
      <c r="A1" s="16"/>
      <c r="B1" s="17"/>
      <c r="C1" s="17"/>
      <c r="D1" s="18"/>
      <c r="E1" s="17"/>
      <c r="F1" s="18"/>
      <c r="G1" s="18"/>
      <c r="H1" s="18"/>
      <c r="I1" s="19"/>
      <c r="K1" s="689"/>
    </row>
    <row r="2" spans="1:12" ht="21" customHeight="1" x14ac:dyDescent="0.15">
      <c r="A2" s="457" t="s">
        <v>802</v>
      </c>
      <c r="B2" s="25"/>
      <c r="C2" s="25"/>
      <c r="D2" s="25"/>
      <c r="E2" s="25"/>
      <c r="F2" s="25"/>
      <c r="G2" s="25"/>
      <c r="H2" s="25"/>
      <c r="I2" s="26"/>
      <c r="K2" s="689"/>
    </row>
    <row r="3" spans="1:12" ht="18.75" x14ac:dyDescent="0.2">
      <c r="A3" s="283"/>
      <c r="B3" s="20"/>
      <c r="C3" s="458" t="str">
        <f>IF(OR(N4=0,TRUNC(L1,-3)+TRUNC(L2,-3)=0),"",TRUNC(L1,-3))</f>
        <v/>
      </c>
      <c r="D3" s="21"/>
      <c r="E3" s="20"/>
      <c r="F3" s="21"/>
      <c r="G3" s="21"/>
      <c r="H3" s="21"/>
      <c r="I3" s="699"/>
      <c r="K3" s="689"/>
      <c r="L3" s="529"/>
    </row>
    <row r="4" spans="1:12" ht="18.75" customHeight="1" x14ac:dyDescent="0.2">
      <c r="A4" s="283"/>
      <c r="B4" s="20"/>
      <c r="C4" s="459"/>
      <c r="D4" s="21"/>
      <c r="E4" s="20"/>
      <c r="F4" s="21"/>
      <c r="G4" s="21"/>
      <c r="H4" s="21"/>
      <c r="I4" s="686" t="s">
        <v>826</v>
      </c>
    </row>
    <row r="5" spans="1:12" x14ac:dyDescent="0.15">
      <c r="A5" s="756" t="s">
        <v>258</v>
      </c>
      <c r="B5" s="4"/>
      <c r="C5" s="4"/>
      <c r="D5" s="5"/>
      <c r="E5" s="4"/>
      <c r="F5" s="648"/>
      <c r="G5" s="648"/>
      <c r="H5" s="755" t="s">
        <v>257</v>
      </c>
      <c r="I5" s="105"/>
    </row>
    <row r="6" spans="1:12" x14ac:dyDescent="0.15">
      <c r="A6" s="757"/>
      <c r="B6" s="6" t="s">
        <v>89</v>
      </c>
      <c r="C6" s="6" t="s">
        <v>90</v>
      </c>
      <c r="D6" s="6" t="s">
        <v>91</v>
      </c>
      <c r="E6" s="6" t="s">
        <v>92</v>
      </c>
      <c r="F6" s="6" t="s">
        <v>93</v>
      </c>
      <c r="G6" s="6" t="s">
        <v>94</v>
      </c>
      <c r="H6" s="749"/>
      <c r="I6" s="106" t="s">
        <v>226</v>
      </c>
    </row>
    <row r="7" spans="1:12" ht="14.25" thickBot="1" x14ac:dyDescent="0.2">
      <c r="A7" s="758"/>
      <c r="B7" s="39"/>
      <c r="C7" s="39"/>
      <c r="D7" s="40"/>
      <c r="E7" s="39"/>
      <c r="F7" s="56" t="s">
        <v>96</v>
      </c>
      <c r="G7" s="56" t="s">
        <v>96</v>
      </c>
      <c r="H7" s="750"/>
      <c r="I7" s="52"/>
    </row>
    <row r="8" spans="1:12" ht="15" customHeight="1" thickTop="1" x14ac:dyDescent="0.15">
      <c r="A8" s="253"/>
      <c r="B8" s="207"/>
      <c r="C8" s="207"/>
      <c r="D8" s="300"/>
      <c r="E8" s="304"/>
      <c r="F8" s="144"/>
      <c r="G8" s="206">
        <f>IF(OR(N$4=0,SUM(K9:N9)=0),1,IF(#REF!="l","",SUM(M9:N9)))</f>
        <v>1</v>
      </c>
      <c r="H8" s="147"/>
      <c r="I8" s="50"/>
    </row>
    <row r="9" spans="1:12" ht="15" customHeight="1" x14ac:dyDescent="0.15">
      <c r="A9" s="194"/>
      <c r="B9" s="736" t="s">
        <v>40</v>
      </c>
      <c r="C9" s="737" t="s">
        <v>778</v>
      </c>
      <c r="D9" s="738">
        <v>1</v>
      </c>
      <c r="E9" s="305" t="s">
        <v>878</v>
      </c>
      <c r="F9" s="145"/>
      <c r="G9" s="216"/>
      <c r="H9" s="148"/>
      <c r="I9" s="687" t="s">
        <v>828</v>
      </c>
      <c r="K9" s="114"/>
    </row>
    <row r="10" spans="1:12" ht="15" customHeight="1" x14ac:dyDescent="0.15">
      <c r="A10" s="194"/>
      <c r="B10" s="207"/>
      <c r="C10" s="207"/>
      <c r="D10" s="300"/>
      <c r="E10" s="304"/>
      <c r="F10" s="144"/>
      <c r="G10" s="206"/>
      <c r="H10" s="147"/>
      <c r="I10" s="50"/>
    </row>
    <row r="11" spans="1:12" ht="15" customHeight="1" x14ac:dyDescent="0.15">
      <c r="A11" s="194"/>
      <c r="B11" s="208"/>
      <c r="C11" s="208"/>
      <c r="D11" s="301"/>
      <c r="E11" s="305"/>
      <c r="F11" s="145"/>
      <c r="G11" s="216"/>
      <c r="H11" s="148"/>
      <c r="I11" s="660"/>
      <c r="K11" s="114"/>
    </row>
    <row r="12" spans="1:12" ht="15" customHeight="1" x14ac:dyDescent="0.15">
      <c r="A12" s="194"/>
      <c r="B12" s="207"/>
      <c r="C12" s="207"/>
      <c r="D12" s="300"/>
      <c r="E12" s="304"/>
      <c r="F12" s="144"/>
      <c r="G12" s="206"/>
      <c r="H12" s="147"/>
      <c r="I12" s="50"/>
    </row>
    <row r="13" spans="1:12" ht="15" customHeight="1" x14ac:dyDescent="0.15">
      <c r="A13" s="194"/>
      <c r="B13" s="208"/>
      <c r="C13" s="208"/>
      <c r="D13" s="301"/>
      <c r="E13" s="305"/>
      <c r="F13" s="145"/>
      <c r="G13" s="216"/>
      <c r="H13" s="148"/>
      <c r="I13" s="108"/>
      <c r="K13" s="114"/>
    </row>
    <row r="14" spans="1:12" ht="15" customHeight="1" x14ac:dyDescent="0.15">
      <c r="A14" s="194"/>
      <c r="B14" s="207"/>
      <c r="C14" s="207"/>
      <c r="D14" s="300"/>
      <c r="E14" s="304"/>
      <c r="F14" s="144"/>
      <c r="G14" s="206"/>
      <c r="H14" s="147"/>
      <c r="I14" s="50"/>
    </row>
    <row r="15" spans="1:12" ht="15" customHeight="1" x14ac:dyDescent="0.15">
      <c r="A15" s="194"/>
      <c r="B15" s="208"/>
      <c r="C15" s="208"/>
      <c r="D15" s="301"/>
      <c r="E15" s="305"/>
      <c r="F15" s="145"/>
      <c r="G15" s="216"/>
      <c r="H15" s="148"/>
      <c r="I15" s="107"/>
      <c r="K15" s="114"/>
    </row>
    <row r="16" spans="1:12" ht="15" customHeight="1" x14ac:dyDescent="0.15">
      <c r="A16" s="194"/>
      <c r="B16" s="207"/>
      <c r="C16" s="207"/>
      <c r="D16" s="300"/>
      <c r="E16" s="304"/>
      <c r="F16" s="144"/>
      <c r="G16" s="206"/>
      <c r="H16" s="147"/>
      <c r="I16" s="50"/>
    </row>
    <row r="17" spans="1:11" ht="15" customHeight="1" x14ac:dyDescent="0.15">
      <c r="A17" s="194"/>
      <c r="B17" s="208"/>
      <c r="C17" s="208"/>
      <c r="D17" s="301"/>
      <c r="E17" s="305"/>
      <c r="F17" s="145"/>
      <c r="G17" s="216"/>
      <c r="H17" s="148"/>
      <c r="I17" s="547"/>
      <c r="K17" s="114"/>
    </row>
    <row r="18" spans="1:11" ht="15" customHeight="1" x14ac:dyDescent="0.15">
      <c r="A18" s="194"/>
      <c r="B18" s="207"/>
      <c r="C18" s="207"/>
      <c r="D18" s="300"/>
      <c r="E18" s="304"/>
      <c r="F18" s="144"/>
      <c r="G18" s="206"/>
      <c r="H18" s="147"/>
      <c r="I18" s="50"/>
    </row>
    <row r="19" spans="1:11" ht="15" customHeight="1" x14ac:dyDescent="0.15">
      <c r="A19" s="194"/>
      <c r="B19" s="208"/>
      <c r="C19" s="208"/>
      <c r="D19" s="301"/>
      <c r="E19" s="305"/>
      <c r="F19" s="145"/>
      <c r="G19" s="216"/>
      <c r="H19" s="148"/>
      <c r="I19" s="547"/>
      <c r="K19" s="114"/>
    </row>
    <row r="20" spans="1:11" ht="15" customHeight="1" x14ac:dyDescent="0.15">
      <c r="A20" s="194"/>
      <c r="B20" s="207"/>
      <c r="C20" s="207"/>
      <c r="D20" s="300"/>
      <c r="E20" s="304"/>
      <c r="F20" s="144"/>
      <c r="G20" s="206"/>
      <c r="H20" s="372"/>
      <c r="I20" s="50"/>
    </row>
    <row r="21" spans="1:11" ht="15" customHeight="1" x14ac:dyDescent="0.15">
      <c r="A21" s="194"/>
      <c r="B21" s="208"/>
      <c r="C21" s="208"/>
      <c r="D21" s="301"/>
      <c r="E21" s="305"/>
      <c r="F21" s="145"/>
      <c r="G21" s="216"/>
      <c r="H21" s="373"/>
      <c r="I21" s="107"/>
      <c r="K21" s="114"/>
    </row>
    <row r="22" spans="1:11" ht="15" customHeight="1" x14ac:dyDescent="0.15">
      <c r="A22" s="194"/>
      <c r="B22" s="207"/>
      <c r="C22" s="207"/>
      <c r="D22" s="300"/>
      <c r="E22" s="304"/>
      <c r="F22" s="144"/>
      <c r="G22" s="206"/>
      <c r="H22" s="372"/>
      <c r="I22" s="50"/>
    </row>
    <row r="23" spans="1:11" ht="15" customHeight="1" x14ac:dyDescent="0.15">
      <c r="A23" s="194"/>
      <c r="B23" s="208"/>
      <c r="C23" s="208"/>
      <c r="D23" s="301"/>
      <c r="E23" s="305"/>
      <c r="F23" s="145"/>
      <c r="G23" s="216"/>
      <c r="H23" s="373"/>
      <c r="I23" s="107"/>
      <c r="K23" s="114"/>
    </row>
    <row r="24" spans="1:11" ht="15" customHeight="1" x14ac:dyDescent="0.15">
      <c r="A24" s="194"/>
      <c r="B24" s="207"/>
      <c r="C24" s="207"/>
      <c r="D24" s="300"/>
      <c r="E24" s="304"/>
      <c r="F24" s="144"/>
      <c r="G24" s="206"/>
      <c r="H24" s="372"/>
      <c r="I24" s="50"/>
    </row>
    <row r="25" spans="1:11" ht="15" customHeight="1" x14ac:dyDescent="0.15">
      <c r="A25" s="194"/>
      <c r="B25" s="208"/>
      <c r="C25" s="208"/>
      <c r="D25" s="301"/>
      <c r="E25" s="305"/>
      <c r="F25" s="145"/>
      <c r="G25" s="635"/>
      <c r="H25" s="373"/>
      <c r="I25" s="107"/>
      <c r="K25" s="114"/>
    </row>
    <row r="26" spans="1:11" ht="15" customHeight="1" x14ac:dyDescent="0.15">
      <c r="A26" s="194"/>
      <c r="B26" s="207"/>
      <c r="C26" s="207"/>
      <c r="D26" s="300"/>
      <c r="E26" s="304"/>
      <c r="F26" s="144"/>
      <c r="G26" s="206"/>
      <c r="H26" s="372"/>
      <c r="I26" s="50"/>
    </row>
    <row r="27" spans="1:11" ht="15" customHeight="1" x14ac:dyDescent="0.15">
      <c r="A27" s="194"/>
      <c r="B27" s="8"/>
      <c r="C27" s="8"/>
      <c r="D27" s="301"/>
      <c r="E27" s="305"/>
      <c r="F27" s="145"/>
      <c r="G27" s="635"/>
      <c r="H27" s="373"/>
      <c r="I27" s="107"/>
      <c r="K27" s="114"/>
    </row>
    <row r="28" spans="1:11" ht="15" customHeight="1" x14ac:dyDescent="0.15">
      <c r="A28" s="194"/>
      <c r="B28" s="207"/>
      <c r="C28" s="207"/>
      <c r="D28" s="300"/>
      <c r="E28" s="304"/>
      <c r="F28" s="144"/>
      <c r="G28" s="206"/>
      <c r="H28" s="372"/>
      <c r="I28" s="50"/>
    </row>
    <row r="29" spans="1:11" ht="15" customHeight="1" x14ac:dyDescent="0.15">
      <c r="A29" s="194"/>
      <c r="B29" s="208"/>
      <c r="C29" s="208"/>
      <c r="D29" s="301"/>
      <c r="E29" s="305"/>
      <c r="F29" s="145"/>
      <c r="G29" s="216"/>
      <c r="H29" s="373"/>
      <c r="I29" s="107"/>
      <c r="K29" s="114"/>
    </row>
    <row r="30" spans="1:11" ht="15" customHeight="1" x14ac:dyDescent="0.15">
      <c r="A30" s="194"/>
      <c r="B30" s="6"/>
      <c r="C30" s="6"/>
      <c r="D30" s="300"/>
      <c r="E30" s="304"/>
      <c r="F30" s="144"/>
      <c r="G30" s="12"/>
      <c r="H30" s="372"/>
      <c r="I30" s="50"/>
    </row>
    <row r="31" spans="1:11" ht="15" customHeight="1" x14ac:dyDescent="0.15">
      <c r="A31" s="194"/>
      <c r="B31" s="8"/>
      <c r="C31" s="8"/>
      <c r="D31" s="301"/>
      <c r="E31" s="305"/>
      <c r="F31" s="145"/>
      <c r="G31" s="13"/>
      <c r="H31" s="373"/>
      <c r="I31" s="107"/>
      <c r="K31" s="114"/>
    </row>
    <row r="32" spans="1:11" ht="15" customHeight="1" x14ac:dyDescent="0.15">
      <c r="A32" s="194"/>
      <c r="B32" s="6"/>
      <c r="C32" s="6"/>
      <c r="D32" s="300"/>
      <c r="E32" s="304"/>
      <c r="F32" s="144"/>
      <c r="G32" s="12"/>
      <c r="H32" s="372"/>
      <c r="I32" s="50"/>
    </row>
    <row r="33" spans="1:13" ht="15" customHeight="1" x14ac:dyDescent="0.15">
      <c r="A33" s="194"/>
      <c r="B33" s="8"/>
      <c r="C33" s="8"/>
      <c r="D33" s="301"/>
      <c r="E33" s="305"/>
      <c r="F33" s="145"/>
      <c r="G33" s="13"/>
      <c r="H33" s="373"/>
      <c r="I33" s="107"/>
      <c r="K33" s="114"/>
    </row>
    <row r="34" spans="1:13" ht="15" customHeight="1" x14ac:dyDescent="0.15">
      <c r="A34" s="194"/>
      <c r="B34" s="6"/>
      <c r="C34" s="6"/>
      <c r="D34" s="300"/>
      <c r="E34" s="304"/>
      <c r="F34" s="144"/>
      <c r="G34" s="12"/>
      <c r="H34" s="372"/>
      <c r="I34" s="50"/>
    </row>
    <row r="35" spans="1:13" ht="15" customHeight="1" x14ac:dyDescent="0.15">
      <c r="A35" s="194"/>
      <c r="B35" s="8"/>
      <c r="C35" s="8"/>
      <c r="D35" s="301"/>
      <c r="E35" s="305"/>
      <c r="F35" s="145"/>
      <c r="G35" s="13"/>
      <c r="H35" s="373"/>
      <c r="I35" s="107"/>
      <c r="K35" s="114"/>
    </row>
    <row r="36" spans="1:13" ht="15" customHeight="1" x14ac:dyDescent="0.15">
      <c r="A36" s="194"/>
      <c r="B36" s="6"/>
      <c r="C36" s="6"/>
      <c r="D36" s="300"/>
      <c r="E36" s="304"/>
      <c r="F36" s="144"/>
      <c r="G36" s="12"/>
      <c r="H36" s="372"/>
      <c r="I36" s="50"/>
    </row>
    <row r="37" spans="1:13" ht="15" customHeight="1" x14ac:dyDescent="0.15">
      <c r="A37" s="194"/>
      <c r="B37" s="8"/>
      <c r="C37" s="8"/>
      <c r="D37" s="301"/>
      <c r="E37" s="305"/>
      <c r="F37" s="145"/>
      <c r="G37" s="13"/>
      <c r="H37" s="373"/>
      <c r="I37" s="107"/>
      <c r="K37" s="114"/>
    </row>
    <row r="38" spans="1:13" ht="15" customHeight="1" x14ac:dyDescent="0.15">
      <c r="A38" s="194"/>
      <c r="B38" s="6"/>
      <c r="C38" s="6"/>
      <c r="D38" s="300"/>
      <c r="E38" s="304"/>
      <c r="F38" s="144"/>
      <c r="G38" s="206"/>
      <c r="H38" s="372"/>
      <c r="I38" s="50"/>
    </row>
    <row r="39" spans="1:13" ht="15" customHeight="1" x14ac:dyDescent="0.15">
      <c r="A39" s="194"/>
      <c r="B39" s="617"/>
      <c r="C39" s="8"/>
      <c r="D39" s="633"/>
      <c r="E39" s="305"/>
      <c r="F39" s="145"/>
      <c r="G39" s="634"/>
      <c r="H39" s="373"/>
      <c r="I39" s="107"/>
      <c r="K39" s="114"/>
      <c r="M39" s="114"/>
    </row>
    <row r="40" spans="1:13" ht="15" customHeight="1" x14ac:dyDescent="0.15">
      <c r="A40" s="194"/>
      <c r="B40" s="6"/>
      <c r="C40" s="6"/>
      <c r="D40" s="300"/>
      <c r="E40" s="304"/>
      <c r="F40" s="144"/>
      <c r="G40" s="12"/>
      <c r="H40" s="372"/>
      <c r="I40" s="50"/>
    </row>
    <row r="41" spans="1:13" ht="15" customHeight="1" x14ac:dyDescent="0.15">
      <c r="A41" s="194"/>
      <c r="B41" s="8"/>
      <c r="C41" s="8"/>
      <c r="D41" s="301"/>
      <c r="E41" s="305"/>
      <c r="F41" s="145"/>
      <c r="G41" s="13"/>
      <c r="H41" s="373"/>
      <c r="I41" s="107"/>
      <c r="K41" s="114"/>
    </row>
    <row r="42" spans="1:13" ht="15" customHeight="1" x14ac:dyDescent="0.15">
      <c r="A42" s="194"/>
      <c r="B42" s="6"/>
      <c r="C42" s="6"/>
      <c r="D42" s="300"/>
      <c r="E42" s="304"/>
      <c r="F42" s="144"/>
      <c r="G42" s="206"/>
      <c r="H42" s="372"/>
      <c r="I42" s="50"/>
    </row>
    <row r="43" spans="1:13" ht="15" customHeight="1" x14ac:dyDescent="0.15">
      <c r="A43" s="194"/>
      <c r="B43" s="8"/>
      <c r="C43" s="8"/>
      <c r="D43" s="301"/>
      <c r="E43" s="305"/>
      <c r="F43" s="145"/>
      <c r="G43" s="635"/>
      <c r="H43" s="373"/>
      <c r="I43" s="107"/>
      <c r="K43" s="114"/>
    </row>
    <row r="44" spans="1:13" ht="15" customHeight="1" x14ac:dyDescent="0.15">
      <c r="A44" s="194"/>
      <c r="B44" s="6"/>
      <c r="C44" s="6"/>
      <c r="D44" s="300"/>
      <c r="E44" s="304"/>
      <c r="F44" s="144"/>
      <c r="G44" s="206"/>
      <c r="H44" s="372"/>
      <c r="I44" s="50"/>
    </row>
    <row r="45" spans="1:13" ht="15" customHeight="1" x14ac:dyDescent="0.15">
      <c r="A45" s="194"/>
      <c r="B45" s="8"/>
      <c r="C45" s="8"/>
      <c r="D45" s="301"/>
      <c r="E45" s="305"/>
      <c r="F45" s="145"/>
      <c r="G45" s="635"/>
      <c r="H45" s="373"/>
      <c r="I45" s="107"/>
      <c r="K45" s="114"/>
    </row>
    <row r="46" spans="1:13" ht="15" customHeight="1" x14ac:dyDescent="0.15">
      <c r="A46" s="194"/>
      <c r="B46" s="6"/>
      <c r="C46" s="6"/>
      <c r="D46" s="300"/>
      <c r="E46" s="304"/>
      <c r="F46" s="144"/>
      <c r="G46" s="12"/>
      <c r="H46" s="372"/>
      <c r="I46" s="50"/>
    </row>
    <row r="47" spans="1:13" ht="15" customHeight="1" x14ac:dyDescent="0.15">
      <c r="A47" s="194"/>
      <c r="B47" s="8"/>
      <c r="C47" s="8"/>
      <c r="D47" s="301"/>
      <c r="E47" s="305"/>
      <c r="F47" s="145"/>
      <c r="G47" s="13"/>
      <c r="H47" s="373"/>
      <c r="I47" s="107"/>
      <c r="K47" s="114"/>
    </row>
    <row r="48" spans="1:13" ht="15" customHeight="1" x14ac:dyDescent="0.15">
      <c r="A48" s="194"/>
      <c r="B48" s="6"/>
      <c r="C48" s="6"/>
      <c r="D48" s="300"/>
      <c r="E48" s="304"/>
      <c r="F48" s="144"/>
      <c r="G48" s="12"/>
      <c r="H48" s="372"/>
      <c r="I48" s="50"/>
    </row>
    <row r="49" spans="1:11" ht="15" customHeight="1" x14ac:dyDescent="0.15">
      <c r="A49" s="194"/>
      <c r="B49" s="8"/>
      <c r="C49" s="8"/>
      <c r="D49" s="301"/>
      <c r="E49" s="305"/>
      <c r="F49" s="145"/>
      <c r="G49" s="13"/>
      <c r="H49" s="373"/>
      <c r="I49" s="107"/>
      <c r="K49" s="114"/>
    </row>
    <row r="50" spans="1:11" ht="15" customHeight="1" x14ac:dyDescent="0.15">
      <c r="A50" s="194"/>
      <c r="B50" s="6"/>
      <c r="C50" s="6"/>
      <c r="D50" s="300"/>
      <c r="E50" s="304"/>
      <c r="F50" s="144"/>
      <c r="G50" s="12"/>
      <c r="H50" s="372"/>
      <c r="I50" s="50"/>
    </row>
    <row r="51" spans="1:11" ht="15" customHeight="1" x14ac:dyDescent="0.15">
      <c r="A51" s="194"/>
      <c r="B51" s="8"/>
      <c r="C51" s="8"/>
      <c r="D51" s="301"/>
      <c r="E51" s="305"/>
      <c r="F51" s="145"/>
      <c r="G51" s="13"/>
      <c r="H51" s="373"/>
      <c r="I51" s="107"/>
      <c r="K51" s="114"/>
    </row>
    <row r="52" spans="1:11" ht="15" customHeight="1" x14ac:dyDescent="0.15">
      <c r="A52" s="194"/>
      <c r="B52" s="6"/>
      <c r="C52" s="6"/>
      <c r="D52" s="300"/>
      <c r="E52" s="304"/>
      <c r="F52" s="144"/>
      <c r="G52" s="12"/>
      <c r="H52" s="372"/>
      <c r="I52" s="50"/>
    </row>
    <row r="53" spans="1:11" ht="15" customHeight="1" x14ac:dyDescent="0.15">
      <c r="A53" s="194"/>
      <c r="B53" s="8"/>
      <c r="C53" s="8"/>
      <c r="D53" s="301"/>
      <c r="E53" s="305"/>
      <c r="F53" s="145"/>
      <c r="G53" s="13"/>
      <c r="H53" s="373"/>
      <c r="I53" s="107"/>
      <c r="K53" s="114"/>
    </row>
    <row r="54" spans="1:11" ht="15" customHeight="1" x14ac:dyDescent="0.15">
      <c r="A54" s="194"/>
      <c r="B54" s="6"/>
      <c r="C54" s="6"/>
      <c r="D54" s="300"/>
      <c r="E54" s="304"/>
      <c r="F54" s="144"/>
      <c r="G54" s="12"/>
      <c r="H54" s="372"/>
      <c r="I54" s="50"/>
    </row>
    <row r="55" spans="1:11" ht="15" customHeight="1" x14ac:dyDescent="0.15">
      <c r="A55" s="194"/>
      <c r="B55" s="8"/>
      <c r="C55" s="8"/>
      <c r="D55" s="301"/>
      <c r="E55" s="305"/>
      <c r="F55" s="145"/>
      <c r="G55" s="13"/>
      <c r="H55" s="373"/>
      <c r="I55" s="107"/>
      <c r="K55" s="114"/>
    </row>
    <row r="56" spans="1:11" ht="15" customHeight="1" x14ac:dyDescent="0.15">
      <c r="A56" s="194"/>
      <c r="B56" s="6"/>
      <c r="C56" s="6"/>
      <c r="D56" s="300"/>
      <c r="E56" s="304"/>
      <c r="F56" s="144"/>
      <c r="G56" s="12"/>
      <c r="H56" s="372"/>
      <c r="I56" s="50"/>
    </row>
    <row r="57" spans="1:11" ht="15" customHeight="1" x14ac:dyDescent="0.15">
      <c r="A57" s="194"/>
      <c r="B57" s="8"/>
      <c r="C57" s="8"/>
      <c r="D57" s="301"/>
      <c r="E57" s="305"/>
      <c r="F57" s="145"/>
      <c r="G57" s="13"/>
      <c r="H57" s="373"/>
      <c r="I57" s="107"/>
      <c r="K57" s="114"/>
    </row>
    <row r="58" spans="1:11" ht="15" customHeight="1" x14ac:dyDescent="0.15">
      <c r="A58" s="194"/>
      <c r="B58" s="6"/>
      <c r="C58" s="6"/>
      <c r="D58" s="300"/>
      <c r="E58" s="304"/>
      <c r="F58" s="144"/>
      <c r="G58" s="12"/>
      <c r="H58" s="372"/>
      <c r="I58" s="50"/>
    </row>
    <row r="59" spans="1:11" ht="15" customHeight="1" x14ac:dyDescent="0.15">
      <c r="A59" s="194"/>
      <c r="B59" s="8"/>
      <c r="C59" s="8"/>
      <c r="D59" s="301"/>
      <c r="E59" s="305"/>
      <c r="F59" s="145"/>
      <c r="G59" s="13"/>
      <c r="H59" s="373"/>
      <c r="I59" s="107"/>
      <c r="K59" s="114"/>
    </row>
    <row r="60" spans="1:11" ht="15" customHeight="1" x14ac:dyDescent="0.15">
      <c r="A60" s="194"/>
      <c r="B60" s="6"/>
      <c r="C60" s="6"/>
      <c r="D60" s="300"/>
      <c r="E60" s="304"/>
      <c r="F60" s="144"/>
      <c r="G60" s="12"/>
      <c r="H60" s="372"/>
      <c r="I60" s="50"/>
    </row>
    <row r="61" spans="1:11" ht="15" customHeight="1" x14ac:dyDescent="0.15">
      <c r="A61" s="194"/>
      <c r="B61" s="8"/>
      <c r="C61" s="8"/>
      <c r="D61" s="301"/>
      <c r="E61" s="305"/>
      <c r="F61" s="145"/>
      <c r="G61" s="13"/>
      <c r="H61" s="373"/>
      <c r="I61" s="107"/>
      <c r="K61" s="114"/>
    </row>
    <row r="62" spans="1:11" ht="15" customHeight="1" x14ac:dyDescent="0.15">
      <c r="A62" s="194"/>
      <c r="B62" s="6"/>
      <c r="C62" s="6"/>
      <c r="D62" s="300"/>
      <c r="E62" s="304"/>
      <c r="F62" s="144"/>
      <c r="G62" s="12"/>
      <c r="H62" s="372"/>
      <c r="I62" s="50"/>
    </row>
    <row r="63" spans="1:11" ht="15" customHeight="1" x14ac:dyDescent="0.15">
      <c r="A63" s="194"/>
      <c r="B63" s="8"/>
      <c r="C63" s="8"/>
      <c r="D63" s="301"/>
      <c r="E63" s="305"/>
      <c r="F63" s="145"/>
      <c r="G63" s="13"/>
      <c r="H63" s="373"/>
      <c r="I63" s="107"/>
      <c r="K63" s="114"/>
    </row>
    <row r="64" spans="1:11" ht="15" customHeight="1" x14ac:dyDescent="0.15">
      <c r="A64" s="194"/>
      <c r="B64" s="6"/>
      <c r="C64" s="6"/>
      <c r="D64" s="300"/>
      <c r="E64" s="304"/>
      <c r="F64" s="144"/>
      <c r="G64" s="12"/>
      <c r="H64" s="372"/>
      <c r="I64" s="50"/>
    </row>
    <row r="65" spans="1:11" ht="15" customHeight="1" x14ac:dyDescent="0.15">
      <c r="A65" s="194"/>
      <c r="B65" s="8"/>
      <c r="C65" s="8"/>
      <c r="D65" s="301"/>
      <c r="E65" s="305"/>
      <c r="F65" s="145"/>
      <c r="G65" s="13"/>
      <c r="H65" s="373"/>
      <c r="I65" s="107"/>
      <c r="K65" s="114"/>
    </row>
    <row r="66" spans="1:11" ht="15" customHeight="1" x14ac:dyDescent="0.15">
      <c r="A66" s="194"/>
      <c r="B66" s="6"/>
      <c r="C66" s="6"/>
      <c r="D66" s="300"/>
      <c r="E66" s="304"/>
      <c r="F66" s="144"/>
      <c r="G66" s="12"/>
      <c r="H66" s="372"/>
      <c r="I66" s="50"/>
    </row>
    <row r="67" spans="1:11" ht="15" customHeight="1" x14ac:dyDescent="0.15">
      <c r="A67" s="194"/>
      <c r="B67" s="8"/>
      <c r="C67" s="8"/>
      <c r="D67" s="301"/>
      <c r="E67" s="305"/>
      <c r="F67" s="145"/>
      <c r="G67" s="13"/>
      <c r="H67" s="373"/>
      <c r="I67" s="107"/>
      <c r="K67" s="114"/>
    </row>
    <row r="68" spans="1:11" ht="15" customHeight="1" x14ac:dyDescent="0.15">
      <c r="A68" s="194"/>
      <c r="B68" s="6"/>
      <c r="C68" s="6"/>
      <c r="D68" s="300"/>
      <c r="E68" s="304"/>
      <c r="F68" s="144"/>
      <c r="G68" s="12"/>
      <c r="H68" s="372"/>
      <c r="I68" s="50"/>
    </row>
    <row r="69" spans="1:11" ht="15" customHeight="1" thickBot="1" x14ac:dyDescent="0.2">
      <c r="A69" s="254"/>
      <c r="B69" s="29"/>
      <c r="C69" s="29"/>
      <c r="D69" s="302"/>
      <c r="E69" s="306"/>
      <c r="F69" s="146"/>
      <c r="G69" s="31"/>
      <c r="H69" s="374"/>
      <c r="I69" s="55"/>
      <c r="K69" s="114"/>
    </row>
    <row r="70" spans="1:11" ht="13.5" customHeight="1" x14ac:dyDescent="0.15">
      <c r="A70" s="257"/>
      <c r="B70" s="257"/>
      <c r="C70" s="257"/>
      <c r="D70" s="257"/>
      <c r="E70" s="257"/>
      <c r="F70" s="257"/>
      <c r="G70" s="257"/>
      <c r="H70" s="257"/>
      <c r="I70" s="257"/>
    </row>
    <row r="71" spans="1:11" ht="13.5" customHeight="1" x14ac:dyDescent="0.15">
      <c r="K71" s="114"/>
    </row>
    <row r="72" spans="1:11" ht="13.5" customHeight="1" x14ac:dyDescent="0.15"/>
    <row r="73" spans="1:11" ht="13.5" customHeight="1" x14ac:dyDescent="0.15">
      <c r="K73" s="114"/>
    </row>
    <row r="75" spans="1:11" x14ac:dyDescent="0.15">
      <c r="K75" s="114"/>
    </row>
    <row r="79" spans="1:11" ht="15" customHeight="1" x14ac:dyDescent="0.15"/>
    <row r="80" spans="1:11"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sheetData>
  <mergeCells count="2">
    <mergeCell ref="A5:A7"/>
    <mergeCell ref="H5:H7"/>
  </mergeCells>
  <phoneticPr fontId="28"/>
  <conditionalFormatting sqref="A13 A15 A17 A19 A21 A23 A25 A27 A29 A31 A33 A35 A37 A39 A41 A43 A45 A47 A49 A51 A53 A55 A57 A59 A61 A63">
    <cfRule type="expression" dxfId="62" priority="1" stopIfTrue="1">
      <formula>#REF!=1</formula>
    </cfRule>
  </conditionalFormatting>
  <pageMargins left="0.70866141732283472" right="0.19685039370078741" top="0.78740157480314965" bottom="0.39370078740157483" header="0" footer="0.19685039370078741"/>
  <pageSetup paperSize="9" scale="78" firstPageNumber="2" orientation="portrait" blackAndWhite="1" useFirstPageNumber="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ransitionEvaluation="1">
    <tabColor rgb="FFFF0000"/>
  </sheetPr>
  <dimension ref="A1:M140"/>
  <sheetViews>
    <sheetView view="pageBreakPreview" zoomScaleNormal="90" zoomScaleSheetLayoutView="100" workbookViewId="0">
      <selection activeCell="F77" sqref="F77"/>
    </sheetView>
  </sheetViews>
  <sheetFormatPr defaultRowHeight="13.5" x14ac:dyDescent="0.15"/>
  <cols>
    <col min="1" max="1" width="3.625" customWidth="1"/>
    <col min="2" max="2" width="20.625" customWidth="1"/>
    <col min="3" max="3" width="24.625" customWidth="1"/>
    <col min="4" max="4" width="12.125" customWidth="1"/>
    <col min="5" max="5" width="4.625" customWidth="1"/>
    <col min="6" max="6" width="10.625" customWidth="1"/>
    <col min="7" max="7" width="15.625" customWidth="1"/>
    <col min="8" max="8" width="8.625" customWidth="1"/>
    <col min="9" max="9" width="16.625" customWidth="1"/>
    <col min="11" max="14" width="9.625" customWidth="1"/>
  </cols>
  <sheetData>
    <row r="1" spans="1:12" x14ac:dyDescent="0.15">
      <c r="A1" s="16"/>
      <c r="B1" s="17"/>
      <c r="C1" s="17"/>
      <c r="D1" s="18"/>
      <c r="E1" s="17"/>
      <c r="F1" s="18"/>
      <c r="G1" s="18"/>
      <c r="H1" s="18"/>
      <c r="I1" s="19"/>
      <c r="K1" s="689"/>
    </row>
    <row r="2" spans="1:12" ht="21" customHeight="1" x14ac:dyDescent="0.15">
      <c r="A2" s="457" t="s">
        <v>811</v>
      </c>
      <c r="B2" s="25"/>
      <c r="C2" s="25"/>
      <c r="D2" s="25"/>
      <c r="E2" s="25"/>
      <c r="F2" s="25"/>
      <c r="G2" s="25"/>
      <c r="H2" s="25"/>
      <c r="I2" s="26"/>
      <c r="K2" s="689"/>
    </row>
    <row r="3" spans="1:12" ht="18.75" x14ac:dyDescent="0.2">
      <c r="A3" s="283"/>
      <c r="B3" s="20"/>
      <c r="C3" s="458" t="str">
        <f>IF(OR(N4=0,TRUNC(L1,-3)+TRUNC(L2,-3)=0),"",TRUNC(L1,-3))</f>
        <v/>
      </c>
      <c r="D3" s="21"/>
      <c r="E3" s="20"/>
      <c r="F3" s="21"/>
      <c r="G3" s="21"/>
      <c r="H3" s="21"/>
      <c r="I3" s="699"/>
      <c r="K3" s="689"/>
      <c r="L3" s="529"/>
    </row>
    <row r="4" spans="1:12" ht="18.75" customHeight="1" x14ac:dyDescent="0.2">
      <c r="A4" s="283"/>
      <c r="B4" s="20"/>
      <c r="C4" s="459"/>
      <c r="D4" s="21"/>
      <c r="E4" s="20"/>
      <c r="F4" s="21"/>
      <c r="G4" s="21"/>
      <c r="H4" s="21"/>
      <c r="I4" s="686" t="s">
        <v>826</v>
      </c>
    </row>
    <row r="5" spans="1:12" x14ac:dyDescent="0.15">
      <c r="A5" s="756" t="s">
        <v>258</v>
      </c>
      <c r="B5" s="4"/>
      <c r="C5" s="4"/>
      <c r="D5" s="5"/>
      <c r="E5" s="4"/>
      <c r="F5" s="648"/>
      <c r="G5" s="648"/>
      <c r="H5" s="755" t="s">
        <v>257</v>
      </c>
      <c r="I5" s="105"/>
    </row>
    <row r="6" spans="1:12" x14ac:dyDescent="0.15">
      <c r="A6" s="757"/>
      <c r="B6" s="6" t="s">
        <v>89</v>
      </c>
      <c r="C6" s="6" t="s">
        <v>90</v>
      </c>
      <c r="D6" s="6" t="s">
        <v>91</v>
      </c>
      <c r="E6" s="6" t="s">
        <v>92</v>
      </c>
      <c r="F6" s="6" t="s">
        <v>93</v>
      </c>
      <c r="G6" s="6" t="s">
        <v>94</v>
      </c>
      <c r="H6" s="749"/>
      <c r="I6" s="106" t="s">
        <v>226</v>
      </c>
    </row>
    <row r="7" spans="1:12" ht="14.25" thickBot="1" x14ac:dyDescent="0.2">
      <c r="A7" s="758"/>
      <c r="B7" s="39"/>
      <c r="C7" s="39"/>
      <c r="D7" s="40"/>
      <c r="E7" s="39"/>
      <c r="F7" s="56" t="s">
        <v>96</v>
      </c>
      <c r="G7" s="56" t="s">
        <v>96</v>
      </c>
      <c r="H7" s="750"/>
      <c r="I7" s="52"/>
    </row>
    <row r="8" spans="1:12" ht="15" customHeight="1" thickTop="1" x14ac:dyDescent="0.15">
      <c r="A8" s="253"/>
      <c r="B8" s="207"/>
      <c r="C8" s="207"/>
      <c r="D8" s="300"/>
      <c r="E8" s="304"/>
      <c r="F8" s="144"/>
      <c r="G8" s="206">
        <f>IF(OR(N$4=0,SUM(K9:N9)=0),1,IF(#REF!="l","",SUM(M9:N9)))</f>
        <v>1</v>
      </c>
      <c r="H8" s="147"/>
      <c r="I8" s="50" t="s">
        <v>817</v>
      </c>
    </row>
    <row r="9" spans="1:12" ht="15" customHeight="1" x14ac:dyDescent="0.15">
      <c r="A9" s="194"/>
      <c r="B9" s="208" t="s">
        <v>812</v>
      </c>
      <c r="C9" s="208"/>
      <c r="D9" s="738">
        <v>1</v>
      </c>
      <c r="E9" s="305" t="s">
        <v>878</v>
      </c>
      <c r="F9" s="688"/>
      <c r="G9" s="216"/>
      <c r="H9" s="148"/>
      <c r="I9" s="687" t="s">
        <v>789</v>
      </c>
      <c r="K9" s="114"/>
    </row>
    <row r="10" spans="1:12" ht="15" customHeight="1" x14ac:dyDescent="0.15">
      <c r="A10" s="194"/>
      <c r="B10" s="207"/>
      <c r="C10" s="207"/>
      <c r="D10" s="300"/>
      <c r="E10" s="304"/>
      <c r="F10" s="144"/>
      <c r="G10" s="206"/>
      <c r="H10" s="147"/>
      <c r="I10" s="50"/>
    </row>
    <row r="11" spans="1:12" ht="15" customHeight="1" x14ac:dyDescent="0.15">
      <c r="A11" s="194"/>
      <c r="B11" s="208"/>
      <c r="C11" s="208"/>
      <c r="D11" s="301"/>
      <c r="E11" s="305"/>
      <c r="F11" s="145"/>
      <c r="G11" s="216"/>
      <c r="H11" s="148"/>
      <c r="I11" s="660"/>
      <c r="K11" s="114"/>
    </row>
    <row r="12" spans="1:12" ht="15" customHeight="1" x14ac:dyDescent="0.15">
      <c r="A12" s="194"/>
      <c r="B12" s="207"/>
      <c r="C12" s="207"/>
      <c r="D12" s="300"/>
      <c r="E12" s="304"/>
      <c r="F12" s="144"/>
      <c r="G12" s="206"/>
      <c r="H12" s="147"/>
      <c r="I12" s="50"/>
    </row>
    <row r="13" spans="1:12" ht="15" customHeight="1" x14ac:dyDescent="0.15">
      <c r="A13" s="194"/>
      <c r="B13" s="208"/>
      <c r="C13" s="208"/>
      <c r="D13" s="301"/>
      <c r="E13" s="305"/>
      <c r="F13" s="145"/>
      <c r="G13" s="216"/>
      <c r="H13" s="148"/>
      <c r="I13" s="108"/>
      <c r="K13" s="114"/>
    </row>
    <row r="14" spans="1:12" ht="15" customHeight="1" x14ac:dyDescent="0.15">
      <c r="A14" s="194"/>
      <c r="B14" s="207"/>
      <c r="C14" s="207"/>
      <c r="D14" s="300"/>
      <c r="E14" s="304"/>
      <c r="F14" s="144"/>
      <c r="G14" s="206"/>
      <c r="H14" s="147"/>
      <c r="I14" s="50"/>
    </row>
    <row r="15" spans="1:12" ht="15" customHeight="1" x14ac:dyDescent="0.15">
      <c r="A15" s="194"/>
      <c r="B15" s="208"/>
      <c r="C15" s="208"/>
      <c r="D15" s="301"/>
      <c r="E15" s="305"/>
      <c r="F15" s="145"/>
      <c r="G15" s="216"/>
      <c r="H15" s="148"/>
      <c r="I15" s="107"/>
      <c r="K15" s="114"/>
    </row>
    <row r="16" spans="1:12" ht="15" customHeight="1" x14ac:dyDescent="0.15">
      <c r="A16" s="194"/>
      <c r="B16" s="207"/>
      <c r="C16" s="207"/>
      <c r="D16" s="300"/>
      <c r="E16" s="304"/>
      <c r="F16" s="144"/>
      <c r="G16" s="206"/>
      <c r="H16" s="147"/>
      <c r="I16" s="50"/>
    </row>
    <row r="17" spans="1:11" ht="15" customHeight="1" x14ac:dyDescent="0.15">
      <c r="A17" s="194"/>
      <c r="B17" s="208"/>
      <c r="C17" s="208"/>
      <c r="D17" s="301"/>
      <c r="E17" s="305"/>
      <c r="F17" s="145"/>
      <c r="G17" s="216"/>
      <c r="H17" s="148"/>
      <c r="I17" s="547"/>
      <c r="K17" s="114"/>
    </row>
    <row r="18" spans="1:11" ht="15" customHeight="1" x14ac:dyDescent="0.15">
      <c r="A18" s="194"/>
      <c r="B18" s="207"/>
      <c r="C18" s="207"/>
      <c r="D18" s="300"/>
      <c r="E18" s="304"/>
      <c r="F18" s="144"/>
      <c r="G18" s="206"/>
      <c r="H18" s="147"/>
      <c r="I18" s="50"/>
    </row>
    <row r="19" spans="1:11" ht="15" customHeight="1" x14ac:dyDescent="0.15">
      <c r="A19" s="194"/>
      <c r="B19" s="208"/>
      <c r="C19" s="208"/>
      <c r="D19" s="301"/>
      <c r="E19" s="305"/>
      <c r="F19" s="145"/>
      <c r="G19" s="216"/>
      <c r="H19" s="148"/>
      <c r="I19" s="547"/>
      <c r="K19" s="114"/>
    </row>
    <row r="20" spans="1:11" ht="15" customHeight="1" x14ac:dyDescent="0.15">
      <c r="A20" s="194"/>
      <c r="B20" s="207"/>
      <c r="C20" s="207"/>
      <c r="D20" s="300"/>
      <c r="E20" s="304"/>
      <c r="F20" s="144"/>
      <c r="G20" s="206"/>
      <c r="H20" s="372"/>
      <c r="I20" s="50"/>
    </row>
    <row r="21" spans="1:11" ht="15" customHeight="1" x14ac:dyDescent="0.15">
      <c r="A21" s="194"/>
      <c r="B21" s="208"/>
      <c r="C21" s="208"/>
      <c r="D21" s="301"/>
      <c r="E21" s="305"/>
      <c r="F21" s="145"/>
      <c r="G21" s="216"/>
      <c r="H21" s="373"/>
      <c r="I21" s="107"/>
      <c r="K21" s="114"/>
    </row>
    <row r="22" spans="1:11" ht="15" customHeight="1" x14ac:dyDescent="0.15">
      <c r="A22" s="194"/>
      <c r="B22" s="207"/>
      <c r="C22" s="207"/>
      <c r="D22" s="300"/>
      <c r="E22" s="304"/>
      <c r="F22" s="144"/>
      <c r="G22" s="206"/>
      <c r="H22" s="372"/>
      <c r="I22" s="50"/>
    </row>
    <row r="23" spans="1:11" ht="15" customHeight="1" x14ac:dyDescent="0.15">
      <c r="A23" s="194"/>
      <c r="B23" s="208"/>
      <c r="C23" s="208"/>
      <c r="D23" s="301"/>
      <c r="E23" s="305"/>
      <c r="F23" s="145"/>
      <c r="G23" s="216"/>
      <c r="H23" s="373"/>
      <c r="I23" s="107"/>
      <c r="K23" s="114"/>
    </row>
    <row r="24" spans="1:11" ht="15" customHeight="1" x14ac:dyDescent="0.15">
      <c r="A24" s="194"/>
      <c r="B24" s="207"/>
      <c r="C24" s="207"/>
      <c r="D24" s="300"/>
      <c r="E24" s="304"/>
      <c r="F24" s="144"/>
      <c r="G24" s="206"/>
      <c r="H24" s="372"/>
      <c r="I24" s="50"/>
    </row>
    <row r="25" spans="1:11" ht="15" customHeight="1" x14ac:dyDescent="0.15">
      <c r="A25" s="194"/>
      <c r="B25" s="208"/>
      <c r="C25" s="208"/>
      <c r="D25" s="301"/>
      <c r="E25" s="305"/>
      <c r="F25" s="145"/>
      <c r="G25" s="635"/>
      <c r="H25" s="373"/>
      <c r="I25" s="107"/>
      <c r="K25" s="114"/>
    </row>
    <row r="26" spans="1:11" ht="15" customHeight="1" x14ac:dyDescent="0.15">
      <c r="A26" s="194"/>
      <c r="B26" s="207"/>
      <c r="C26" s="207"/>
      <c r="D26" s="300"/>
      <c r="E26" s="304"/>
      <c r="F26" s="144"/>
      <c r="G26" s="206"/>
      <c r="H26" s="372"/>
      <c r="I26" s="50"/>
    </row>
    <row r="27" spans="1:11" ht="15" customHeight="1" x14ac:dyDescent="0.15">
      <c r="A27" s="194"/>
      <c r="B27" s="8"/>
      <c r="C27" s="8"/>
      <c r="D27" s="301"/>
      <c r="E27" s="305"/>
      <c r="F27" s="145"/>
      <c r="G27" s="635"/>
      <c r="H27" s="373"/>
      <c r="I27" s="107"/>
      <c r="K27" s="114"/>
    </row>
    <row r="28" spans="1:11" ht="15" customHeight="1" x14ac:dyDescent="0.15">
      <c r="A28" s="194"/>
      <c r="B28" s="207"/>
      <c r="C28" s="207"/>
      <c r="D28" s="300"/>
      <c r="E28" s="304"/>
      <c r="F28" s="144"/>
      <c r="G28" s="206"/>
      <c r="H28" s="372"/>
      <c r="I28" s="50"/>
    </row>
    <row r="29" spans="1:11" ht="15" customHeight="1" x14ac:dyDescent="0.15">
      <c r="A29" s="194"/>
      <c r="B29" s="208"/>
      <c r="C29" s="208"/>
      <c r="D29" s="301"/>
      <c r="E29" s="305"/>
      <c r="F29" s="145"/>
      <c r="G29" s="216"/>
      <c r="H29" s="373"/>
      <c r="I29" s="107"/>
      <c r="K29" s="114"/>
    </row>
    <row r="30" spans="1:11" ht="15" customHeight="1" x14ac:dyDescent="0.15">
      <c r="A30" s="194"/>
      <c r="B30" s="6"/>
      <c r="C30" s="6"/>
      <c r="D30" s="300"/>
      <c r="E30" s="304"/>
      <c r="F30" s="144"/>
      <c r="G30" s="12"/>
      <c r="H30" s="372"/>
      <c r="I30" s="50"/>
    </row>
    <row r="31" spans="1:11" ht="15" customHeight="1" x14ac:dyDescent="0.15">
      <c r="A31" s="194"/>
      <c r="B31" s="8"/>
      <c r="C31" s="8"/>
      <c r="D31" s="301"/>
      <c r="E31" s="305"/>
      <c r="F31" s="145"/>
      <c r="G31" s="13"/>
      <c r="H31" s="373"/>
      <c r="I31" s="107"/>
      <c r="K31" s="114"/>
    </row>
    <row r="32" spans="1:11" ht="15" customHeight="1" x14ac:dyDescent="0.15">
      <c r="A32" s="194"/>
      <c r="B32" s="6"/>
      <c r="C32" s="6"/>
      <c r="D32" s="300"/>
      <c r="E32" s="304"/>
      <c r="F32" s="144"/>
      <c r="G32" s="12"/>
      <c r="H32" s="372"/>
      <c r="I32" s="50"/>
    </row>
    <row r="33" spans="1:13" ht="15" customHeight="1" x14ac:dyDescent="0.15">
      <c r="A33" s="194"/>
      <c r="B33" s="8"/>
      <c r="C33" s="8"/>
      <c r="D33" s="301"/>
      <c r="E33" s="305"/>
      <c r="F33" s="145"/>
      <c r="G33" s="13"/>
      <c r="H33" s="373"/>
      <c r="I33" s="107"/>
      <c r="K33" s="114"/>
    </row>
    <row r="34" spans="1:13" ht="15" customHeight="1" x14ac:dyDescent="0.15">
      <c r="A34" s="194"/>
      <c r="B34" s="6"/>
      <c r="C34" s="6"/>
      <c r="D34" s="300"/>
      <c r="E34" s="304"/>
      <c r="F34" s="144"/>
      <c r="G34" s="12"/>
      <c r="H34" s="372"/>
      <c r="I34" s="50"/>
    </row>
    <row r="35" spans="1:13" ht="15" customHeight="1" x14ac:dyDescent="0.15">
      <c r="A35" s="194"/>
      <c r="B35" s="8"/>
      <c r="C35" s="8"/>
      <c r="D35" s="301"/>
      <c r="E35" s="305"/>
      <c r="F35" s="145"/>
      <c r="G35" s="13"/>
      <c r="H35" s="373"/>
      <c r="I35" s="107"/>
      <c r="K35" s="114"/>
    </row>
    <row r="36" spans="1:13" ht="15" customHeight="1" x14ac:dyDescent="0.15">
      <c r="A36" s="194"/>
      <c r="B36" s="6"/>
      <c r="C36" s="6"/>
      <c r="D36" s="300"/>
      <c r="E36" s="304"/>
      <c r="F36" s="144"/>
      <c r="G36" s="12"/>
      <c r="H36" s="372"/>
      <c r="I36" s="50"/>
    </row>
    <row r="37" spans="1:13" ht="15" customHeight="1" x14ac:dyDescent="0.15">
      <c r="A37" s="194"/>
      <c r="B37" s="8"/>
      <c r="C37" s="8"/>
      <c r="D37" s="301"/>
      <c r="E37" s="305"/>
      <c r="F37" s="145"/>
      <c r="G37" s="13"/>
      <c r="H37" s="373"/>
      <c r="I37" s="107"/>
      <c r="K37" s="114"/>
    </row>
    <row r="38" spans="1:13" ht="15" customHeight="1" x14ac:dyDescent="0.15">
      <c r="A38" s="194"/>
      <c r="B38" s="6"/>
      <c r="C38" s="6"/>
      <c r="D38" s="300"/>
      <c r="E38" s="304"/>
      <c r="F38" s="144"/>
      <c r="G38" s="206"/>
      <c r="H38" s="372"/>
      <c r="I38" s="50"/>
    </row>
    <row r="39" spans="1:13" ht="15" customHeight="1" x14ac:dyDescent="0.15">
      <c r="A39" s="194"/>
      <c r="B39" s="617"/>
      <c r="C39" s="8"/>
      <c r="D39" s="633"/>
      <c r="E39" s="305"/>
      <c r="F39" s="145"/>
      <c r="G39" s="634"/>
      <c r="H39" s="373"/>
      <c r="I39" s="107"/>
      <c r="K39" s="114"/>
      <c r="M39" s="114"/>
    </row>
    <row r="40" spans="1:13" ht="15" customHeight="1" x14ac:dyDescent="0.15">
      <c r="A40" s="194"/>
      <c r="B40" s="6"/>
      <c r="C40" s="6"/>
      <c r="D40" s="300"/>
      <c r="E40" s="304"/>
      <c r="F40" s="144"/>
      <c r="G40" s="12"/>
      <c r="H40" s="372"/>
      <c r="I40" s="50"/>
    </row>
    <row r="41" spans="1:13" ht="15" customHeight="1" x14ac:dyDescent="0.15">
      <c r="A41" s="194"/>
      <c r="B41" s="8"/>
      <c r="C41" s="8"/>
      <c r="D41" s="301"/>
      <c r="E41" s="305"/>
      <c r="F41" s="145"/>
      <c r="G41" s="13"/>
      <c r="H41" s="373"/>
      <c r="I41" s="107"/>
      <c r="K41" s="114"/>
    </row>
    <row r="42" spans="1:13" ht="15" customHeight="1" x14ac:dyDescent="0.15">
      <c r="A42" s="194"/>
      <c r="B42" s="6"/>
      <c r="C42" s="6"/>
      <c r="D42" s="300"/>
      <c r="E42" s="304"/>
      <c r="F42" s="144"/>
      <c r="G42" s="206"/>
      <c r="H42" s="372"/>
      <c r="I42" s="50"/>
    </row>
    <row r="43" spans="1:13" ht="15" customHeight="1" x14ac:dyDescent="0.15">
      <c r="A43" s="194"/>
      <c r="B43" s="8"/>
      <c r="C43" s="8"/>
      <c r="D43" s="301"/>
      <c r="E43" s="305"/>
      <c r="F43" s="145"/>
      <c r="G43" s="635"/>
      <c r="H43" s="373"/>
      <c r="I43" s="107"/>
      <c r="K43" s="114"/>
    </row>
    <row r="44" spans="1:13" ht="15" customHeight="1" x14ac:dyDescent="0.15">
      <c r="A44" s="194"/>
      <c r="B44" s="6"/>
      <c r="C44" s="6"/>
      <c r="D44" s="300"/>
      <c r="E44" s="304"/>
      <c r="F44" s="144"/>
      <c r="G44" s="206"/>
      <c r="H44" s="372"/>
      <c r="I44" s="50"/>
    </row>
    <row r="45" spans="1:13" ht="15" customHeight="1" x14ac:dyDescent="0.15">
      <c r="A45" s="194"/>
      <c r="B45" s="8"/>
      <c r="C45" s="8"/>
      <c r="D45" s="301"/>
      <c r="E45" s="305"/>
      <c r="F45" s="145"/>
      <c r="G45" s="635"/>
      <c r="H45" s="373"/>
      <c r="I45" s="107"/>
      <c r="K45" s="114"/>
    </row>
    <row r="46" spans="1:13" ht="15" customHeight="1" x14ac:dyDescent="0.15">
      <c r="A46" s="194"/>
      <c r="B46" s="6"/>
      <c r="C46" s="6"/>
      <c r="D46" s="300"/>
      <c r="E46" s="304"/>
      <c r="F46" s="144"/>
      <c r="G46" s="12"/>
      <c r="H46" s="372"/>
      <c r="I46" s="50"/>
    </row>
    <row r="47" spans="1:13" ht="15" customHeight="1" x14ac:dyDescent="0.15">
      <c r="A47" s="194"/>
      <c r="B47" s="8"/>
      <c r="C47" s="8"/>
      <c r="D47" s="301"/>
      <c r="E47" s="305"/>
      <c r="F47" s="145"/>
      <c r="G47" s="13"/>
      <c r="H47" s="373"/>
      <c r="I47" s="107"/>
      <c r="K47" s="114"/>
    </row>
    <row r="48" spans="1:13" ht="15" customHeight="1" x14ac:dyDescent="0.15">
      <c r="A48" s="194"/>
      <c r="B48" s="6"/>
      <c r="C48" s="6"/>
      <c r="D48" s="300"/>
      <c r="E48" s="304"/>
      <c r="F48" s="144"/>
      <c r="G48" s="12"/>
      <c r="H48" s="372"/>
      <c r="I48" s="50"/>
    </row>
    <row r="49" spans="1:11" ht="15" customHeight="1" x14ac:dyDescent="0.15">
      <c r="A49" s="194"/>
      <c r="B49" s="8"/>
      <c r="C49" s="8"/>
      <c r="D49" s="301"/>
      <c r="E49" s="305"/>
      <c r="F49" s="145"/>
      <c r="G49" s="13"/>
      <c r="H49" s="373"/>
      <c r="I49" s="107"/>
      <c r="K49" s="114"/>
    </row>
    <row r="50" spans="1:11" ht="15" customHeight="1" x14ac:dyDescent="0.15">
      <c r="A50" s="194"/>
      <c r="B50" s="6"/>
      <c r="C50" s="6"/>
      <c r="D50" s="300"/>
      <c r="E50" s="304"/>
      <c r="F50" s="144"/>
      <c r="G50" s="12"/>
      <c r="H50" s="372"/>
      <c r="I50" s="50"/>
    </row>
    <row r="51" spans="1:11" ht="15" customHeight="1" x14ac:dyDescent="0.15">
      <c r="A51" s="194"/>
      <c r="B51" s="8"/>
      <c r="C51" s="8"/>
      <c r="D51" s="301"/>
      <c r="E51" s="305"/>
      <c r="F51" s="145"/>
      <c r="G51" s="13"/>
      <c r="H51" s="373"/>
      <c r="I51" s="107"/>
      <c r="K51" s="114"/>
    </row>
    <row r="52" spans="1:11" ht="15" customHeight="1" x14ac:dyDescent="0.15">
      <c r="A52" s="194"/>
      <c r="B52" s="6"/>
      <c r="C52" s="6"/>
      <c r="D52" s="300"/>
      <c r="E52" s="304"/>
      <c r="F52" s="144"/>
      <c r="G52" s="12"/>
      <c r="H52" s="372"/>
      <c r="I52" s="50"/>
    </row>
    <row r="53" spans="1:11" ht="15" customHeight="1" x14ac:dyDescent="0.15">
      <c r="A53" s="194"/>
      <c r="B53" s="8"/>
      <c r="C53" s="8"/>
      <c r="D53" s="301"/>
      <c r="E53" s="305"/>
      <c r="F53" s="145"/>
      <c r="G53" s="13"/>
      <c r="H53" s="373"/>
      <c r="I53" s="107"/>
      <c r="K53" s="114"/>
    </row>
    <row r="54" spans="1:11" ht="15" customHeight="1" x14ac:dyDescent="0.15">
      <c r="A54" s="194"/>
      <c r="B54" s="6"/>
      <c r="C54" s="6"/>
      <c r="D54" s="300"/>
      <c r="E54" s="304"/>
      <c r="F54" s="144"/>
      <c r="G54" s="12"/>
      <c r="H54" s="372"/>
      <c r="I54" s="50"/>
    </row>
    <row r="55" spans="1:11" ht="15" customHeight="1" x14ac:dyDescent="0.15">
      <c r="A55" s="194"/>
      <c r="B55" s="8"/>
      <c r="C55" s="8"/>
      <c r="D55" s="301"/>
      <c r="E55" s="305"/>
      <c r="F55" s="145"/>
      <c r="G55" s="13"/>
      <c r="H55" s="373"/>
      <c r="I55" s="107"/>
      <c r="K55" s="114"/>
    </row>
    <row r="56" spans="1:11" ht="15" customHeight="1" x14ac:dyDescent="0.15">
      <c r="A56" s="194"/>
      <c r="B56" s="6"/>
      <c r="C56" s="6"/>
      <c r="D56" s="300"/>
      <c r="E56" s="304"/>
      <c r="F56" s="144"/>
      <c r="G56" s="12"/>
      <c r="H56" s="372"/>
      <c r="I56" s="50"/>
    </row>
    <row r="57" spans="1:11" ht="15" customHeight="1" x14ac:dyDescent="0.15">
      <c r="A57" s="194"/>
      <c r="B57" s="8"/>
      <c r="C57" s="8"/>
      <c r="D57" s="301"/>
      <c r="E57" s="305"/>
      <c r="F57" s="145"/>
      <c r="G57" s="13"/>
      <c r="H57" s="373"/>
      <c r="I57" s="107"/>
      <c r="K57" s="114"/>
    </row>
    <row r="58" spans="1:11" ht="15" customHeight="1" x14ac:dyDescent="0.15">
      <c r="A58" s="194"/>
      <c r="B58" s="6"/>
      <c r="C58" s="6"/>
      <c r="D58" s="300"/>
      <c r="E58" s="304"/>
      <c r="F58" s="144"/>
      <c r="G58" s="12"/>
      <c r="H58" s="372"/>
      <c r="I58" s="50"/>
    </row>
    <row r="59" spans="1:11" ht="15" customHeight="1" x14ac:dyDescent="0.15">
      <c r="A59" s="194"/>
      <c r="B59" s="8"/>
      <c r="C59" s="8"/>
      <c r="D59" s="301"/>
      <c r="E59" s="305"/>
      <c r="F59" s="145"/>
      <c r="G59" s="13"/>
      <c r="H59" s="373"/>
      <c r="I59" s="107"/>
      <c r="K59" s="114"/>
    </row>
    <row r="60" spans="1:11" ht="15" customHeight="1" x14ac:dyDescent="0.15">
      <c r="A60" s="194"/>
      <c r="B60" s="6"/>
      <c r="C60" s="6"/>
      <c r="D60" s="300"/>
      <c r="E60" s="304"/>
      <c r="F60" s="144"/>
      <c r="G60" s="12"/>
      <c r="H60" s="372"/>
      <c r="I60" s="50"/>
    </row>
    <row r="61" spans="1:11" ht="15" customHeight="1" x14ac:dyDescent="0.15">
      <c r="A61" s="194"/>
      <c r="B61" s="8"/>
      <c r="C61" s="8"/>
      <c r="D61" s="301"/>
      <c r="E61" s="305"/>
      <c r="F61" s="145"/>
      <c r="G61" s="13"/>
      <c r="H61" s="373"/>
      <c r="I61" s="107"/>
      <c r="K61" s="114"/>
    </row>
    <row r="62" spans="1:11" ht="15" customHeight="1" x14ac:dyDescent="0.15">
      <c r="A62" s="194"/>
      <c r="B62" s="6"/>
      <c r="C62" s="6"/>
      <c r="D62" s="300"/>
      <c r="E62" s="304"/>
      <c r="F62" s="144"/>
      <c r="G62" s="12"/>
      <c r="H62" s="372"/>
      <c r="I62" s="50"/>
    </row>
    <row r="63" spans="1:11" ht="15" customHeight="1" x14ac:dyDescent="0.15">
      <c r="A63" s="194"/>
      <c r="B63" s="8"/>
      <c r="C63" s="8"/>
      <c r="D63" s="301"/>
      <c r="E63" s="305"/>
      <c r="F63" s="145"/>
      <c r="G63" s="13"/>
      <c r="H63" s="373"/>
      <c r="I63" s="107"/>
      <c r="K63" s="114"/>
    </row>
    <row r="64" spans="1:11" ht="15" customHeight="1" x14ac:dyDescent="0.15">
      <c r="A64" s="194"/>
      <c r="B64" s="6"/>
      <c r="C64" s="6"/>
      <c r="D64" s="300"/>
      <c r="E64" s="304"/>
      <c r="F64" s="144"/>
      <c r="G64" s="12"/>
      <c r="H64" s="372"/>
      <c r="I64" s="50"/>
    </row>
    <row r="65" spans="1:11" ht="15" customHeight="1" x14ac:dyDescent="0.15">
      <c r="A65" s="194"/>
      <c r="B65" s="8"/>
      <c r="C65" s="8"/>
      <c r="D65" s="301"/>
      <c r="E65" s="305"/>
      <c r="F65" s="145"/>
      <c r="G65" s="13"/>
      <c r="H65" s="373"/>
      <c r="I65" s="107"/>
      <c r="K65" s="114"/>
    </row>
    <row r="66" spans="1:11" ht="15" customHeight="1" x14ac:dyDescent="0.15">
      <c r="A66" s="194"/>
      <c r="B66" s="6"/>
      <c r="C66" s="6"/>
      <c r="D66" s="300"/>
      <c r="E66" s="304"/>
      <c r="F66" s="144"/>
      <c r="G66" s="12"/>
      <c r="H66" s="372"/>
      <c r="I66" s="50"/>
    </row>
    <row r="67" spans="1:11" ht="15" customHeight="1" x14ac:dyDescent="0.15">
      <c r="A67" s="194"/>
      <c r="B67" s="8"/>
      <c r="C67" s="8"/>
      <c r="D67" s="301"/>
      <c r="E67" s="305"/>
      <c r="F67" s="145"/>
      <c r="G67" s="13"/>
      <c r="H67" s="373"/>
      <c r="I67" s="107"/>
      <c r="K67" s="114"/>
    </row>
    <row r="68" spans="1:11" ht="15" customHeight="1" x14ac:dyDescent="0.15">
      <c r="A68" s="194"/>
      <c r="B68" s="6"/>
      <c r="C68" s="6"/>
      <c r="D68" s="300"/>
      <c r="E68" s="304"/>
      <c r="F68" s="144"/>
      <c r="G68" s="12"/>
      <c r="H68" s="372"/>
      <c r="I68" s="50"/>
    </row>
    <row r="69" spans="1:11" ht="15" customHeight="1" thickBot="1" x14ac:dyDescent="0.2">
      <c r="A69" s="254"/>
      <c r="B69" s="29"/>
      <c r="C69" s="29"/>
      <c r="D69" s="302"/>
      <c r="E69" s="306"/>
      <c r="F69" s="146"/>
      <c r="G69" s="31"/>
      <c r="H69" s="374"/>
      <c r="I69" s="55"/>
      <c r="K69" s="114"/>
    </row>
    <row r="70" spans="1:11" ht="13.5" customHeight="1" x14ac:dyDescent="0.15">
      <c r="A70" s="257"/>
      <c r="B70" s="257"/>
      <c r="C70" s="257"/>
      <c r="D70" s="257"/>
      <c r="E70" s="257"/>
      <c r="F70" s="257"/>
      <c r="G70" s="257"/>
      <c r="H70" s="257"/>
      <c r="I70" s="257"/>
    </row>
    <row r="71" spans="1:11" ht="13.5" customHeight="1" x14ac:dyDescent="0.15">
      <c r="K71" s="114"/>
    </row>
    <row r="72" spans="1:11" ht="13.5" customHeight="1" x14ac:dyDescent="0.15"/>
    <row r="73" spans="1:11" ht="13.5" customHeight="1" x14ac:dyDescent="0.15">
      <c r="K73" s="114"/>
    </row>
    <row r="75" spans="1:11" x14ac:dyDescent="0.15">
      <c r="K75" s="114"/>
    </row>
    <row r="79" spans="1:11" ht="15" customHeight="1" x14ac:dyDescent="0.15"/>
    <row r="80" spans="1:11"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sheetData>
  <mergeCells count="2">
    <mergeCell ref="A5:A7"/>
    <mergeCell ref="H5:H7"/>
  </mergeCells>
  <phoneticPr fontId="28"/>
  <conditionalFormatting sqref="A13 A15 A17 A19 A21 A23 A25 A27 A29 A31 A33 A35 A37 A39 A41 A43 A45 A47 A49 A51 A53 A55 A57 A59 A61 A63">
    <cfRule type="expression" dxfId="61" priority="1" stopIfTrue="1">
      <formula>#REF!=1</formula>
    </cfRule>
  </conditionalFormatting>
  <pageMargins left="0.70866141732283472" right="0.19685039370078741" top="0.78740157480314965" bottom="0.39370078740157483" header="0" footer="0.19685039370078741"/>
  <pageSetup paperSize="9" scale="78" firstPageNumber="2" orientation="portrait" blackAndWhite="1" useFirstPageNumber="1"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ransitionEvaluation="1">
    <tabColor indexed="39"/>
  </sheetPr>
  <dimension ref="A1:AD287"/>
  <sheetViews>
    <sheetView view="pageBreakPreview" topLeftCell="A13" zoomScaleNormal="90" zoomScaleSheetLayoutView="100" workbookViewId="0">
      <selection activeCell="B1" sqref="B1"/>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4.625" customWidth="1"/>
    <col min="18" max="18" width="12.125" customWidth="1"/>
    <col min="19" max="19" width="4.625" customWidth="1"/>
    <col min="20" max="20" width="10.625" customWidth="1"/>
    <col min="21" max="21" width="15.625" customWidth="1"/>
    <col min="22" max="22" width="8.625" customWidth="1"/>
    <col min="23" max="23" width="16.625" customWidth="1"/>
    <col min="26" max="26" width="9.625" style="114" customWidth="1"/>
    <col min="27" max="29" width="9.625" customWidth="1"/>
  </cols>
  <sheetData>
    <row r="1" spans="1:30" x14ac:dyDescent="0.15">
      <c r="D1" t="s">
        <v>307</v>
      </c>
      <c r="F1" t="s">
        <v>308</v>
      </c>
    </row>
    <row r="2" spans="1:30" x14ac:dyDescent="0.15">
      <c r="D2" t="s">
        <v>272</v>
      </c>
      <c r="F2" s="224" t="s">
        <v>267</v>
      </c>
    </row>
    <row r="3" spans="1:30" x14ac:dyDescent="0.15">
      <c r="D3" t="s">
        <v>274</v>
      </c>
      <c r="F3" s="224" t="s">
        <v>271</v>
      </c>
    </row>
    <row r="4" spans="1:30" ht="14.25" thickBot="1" x14ac:dyDescent="0.2">
      <c r="C4" t="s">
        <v>214</v>
      </c>
      <c r="D4" t="s">
        <v>273</v>
      </c>
      <c r="F4" s="224" t="s">
        <v>268</v>
      </c>
      <c r="O4" t="s">
        <v>214</v>
      </c>
      <c r="AC4" t="s">
        <v>89</v>
      </c>
    </row>
    <row r="5" spans="1:30" x14ac:dyDescent="0.15">
      <c r="B5" s="100" t="s">
        <v>83</v>
      </c>
      <c r="N5" t="s">
        <v>215</v>
      </c>
      <c r="O5" s="16"/>
      <c r="P5" s="17"/>
      <c r="Q5" s="17"/>
      <c r="R5" s="18"/>
      <c r="S5" s="17"/>
      <c r="T5" s="18"/>
      <c r="U5" s="18"/>
      <c r="V5" s="18"/>
      <c r="W5" s="19"/>
      <c r="Z5" s="100" t="s">
        <v>216</v>
      </c>
      <c r="AA5">
        <f ca="1">SUM(INDIRECT(AD$6))</f>
        <v>0</v>
      </c>
      <c r="AB5">
        <v>1</v>
      </c>
      <c r="AC5" t="s">
        <v>219</v>
      </c>
      <c r="AD5" t="s">
        <v>217</v>
      </c>
    </row>
    <row r="6" spans="1:30" ht="21" customHeight="1" x14ac:dyDescent="0.2">
      <c r="N6" s="284"/>
      <c r="O6" s="486" t="s">
        <v>527</v>
      </c>
      <c r="P6" s="25"/>
      <c r="Q6" s="25"/>
      <c r="R6" s="25"/>
      <c r="S6" s="25"/>
      <c r="T6" s="25"/>
      <c r="U6" s="25"/>
      <c r="V6" s="25"/>
      <c r="W6" s="26"/>
      <c r="Z6" s="100" t="s">
        <v>218</v>
      </c>
      <c r="AA6">
        <f ca="1">SUM(INDIRECT(AD$7))</f>
        <v>1184747</v>
      </c>
      <c r="AB6">
        <v>2</v>
      </c>
      <c r="AC6" t="s">
        <v>104</v>
      </c>
      <c r="AD6" t="str">
        <f>"AB10..AB"&amp;FIXED(AA7,0,TRUE)</f>
        <v>AB10..AB213</v>
      </c>
    </row>
    <row r="7" spans="1:30" ht="18.75" x14ac:dyDescent="0.2">
      <c r="C7" s="485" t="s">
        <v>525</v>
      </c>
      <c r="D7" s="101"/>
      <c r="E7" s="101"/>
      <c r="F7" s="101"/>
      <c r="G7" s="101"/>
      <c r="H7" s="101"/>
      <c r="I7" s="101"/>
      <c r="N7" s="285"/>
      <c r="O7" s="283"/>
      <c r="P7" s="20"/>
      <c r="Q7" s="458" t="str">
        <f ca="1">IF(OR(AC8=0,TRUNC(AA5,-3)+TRUNC(AA6,-3)=0),"",TRUNC(AA5,-3))</f>
        <v/>
      </c>
      <c r="R7" s="21"/>
      <c r="S7" s="20"/>
      <c r="T7" s="21"/>
      <c r="U7" s="21"/>
      <c r="V7" s="21"/>
      <c r="W7" s="104"/>
      <c r="Z7" s="100" t="s">
        <v>221</v>
      </c>
      <c r="AA7" s="410">
        <v>213</v>
      </c>
      <c r="AB7">
        <v>3</v>
      </c>
      <c r="AC7" t="s">
        <v>230</v>
      </c>
      <c r="AD7" t="str">
        <f>"Z10..Z"&amp;FIXED(AA7,0,TRUE)</f>
        <v>Z10..Z213</v>
      </c>
    </row>
    <row r="8" spans="1:30" ht="18.75" customHeight="1" thickBot="1" x14ac:dyDescent="0.25">
      <c r="A8" t="b">
        <f>SUM(F13:F73)&gt;0</f>
        <v>1</v>
      </c>
      <c r="B8">
        <f ca="1">SUM(INDIRECT(AD8))</f>
        <v>3</v>
      </c>
      <c r="I8" s="111" t="str">
        <f ca="1">"( "&amp;FIXED(A8,0)&amp;" ／ "&amp;FIXED(B$8,0)&amp;" )"</f>
        <v>( 1 ／ 3 )</v>
      </c>
      <c r="N8" s="285"/>
      <c r="O8" s="283"/>
      <c r="P8" s="20"/>
      <c r="Q8" s="459">
        <f ca="1">TRUNC(AA6,-3)</f>
        <v>1184000</v>
      </c>
      <c r="R8" s="21"/>
      <c r="S8" s="20"/>
      <c r="T8" s="21"/>
      <c r="U8" s="21"/>
      <c r="V8" s="21"/>
      <c r="W8" s="112" t="str">
        <f ca="1">I8</f>
        <v>( 1 ／ 3 )</v>
      </c>
      <c r="AC8">
        <f>鏡!H2-1</f>
        <v>0</v>
      </c>
      <c r="AD8" t="str">
        <f>"A5..A"&amp;FIXED(AA7,0,TRUE)</f>
        <v>A5..A213</v>
      </c>
    </row>
    <row r="9" spans="1:30" x14ac:dyDescent="0.15">
      <c r="C9" s="16"/>
      <c r="D9" s="102"/>
      <c r="E9" s="102"/>
      <c r="F9" s="18"/>
      <c r="G9" s="102"/>
      <c r="H9" s="102"/>
      <c r="I9" s="48"/>
      <c r="O9" s="756" t="s">
        <v>258</v>
      </c>
      <c r="P9" s="4"/>
      <c r="Q9" s="4"/>
      <c r="R9" s="5"/>
      <c r="S9" s="4"/>
      <c r="T9" s="14" t="s">
        <v>88</v>
      </c>
      <c r="U9" s="15"/>
      <c r="V9" s="755" t="s">
        <v>257</v>
      </c>
      <c r="W9" s="105"/>
    </row>
    <row r="10" spans="1:30"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Z10" t="str">
        <f>IF(AC8=0,"当初","出来高")</f>
        <v>当初</v>
      </c>
      <c r="AB10" t="s">
        <v>216</v>
      </c>
    </row>
    <row r="11" spans="1:30" ht="14.25" thickBot="1" x14ac:dyDescent="0.2">
      <c r="C11" s="71"/>
      <c r="D11" s="40"/>
      <c r="E11" s="40"/>
      <c r="F11" s="36"/>
      <c r="G11" s="40"/>
      <c r="H11" s="40"/>
      <c r="I11" s="52"/>
      <c r="K11" s="1" t="s">
        <v>259</v>
      </c>
      <c r="O11" s="758"/>
      <c r="P11" s="39"/>
      <c r="Q11" s="39"/>
      <c r="R11" s="40"/>
      <c r="S11" s="39"/>
      <c r="T11" s="56" t="s">
        <v>96</v>
      </c>
      <c r="U11" s="56" t="s">
        <v>96</v>
      </c>
      <c r="V11" s="750"/>
      <c r="W11" s="52"/>
      <c r="Z11"/>
    </row>
    <row r="12" spans="1:30" ht="15" customHeight="1" thickTop="1" x14ac:dyDescent="0.15">
      <c r="C12" s="182"/>
      <c r="D12" s="210"/>
      <c r="E12" s="184"/>
      <c r="F12" s="225"/>
      <c r="G12" s="297" t="str">
        <f ca="1">IF(OR(AC$8=0,L12="b"),"",IF(L12="l",0,"("&amp;FIXED(-F12,K13,0)&amp;M12))</f>
        <v/>
      </c>
      <c r="H12" s="183"/>
      <c r="I12" s="185"/>
      <c r="L12" t="str">
        <f t="shared" ref="L12:L17" ca="1" si="0">CELL("type",F12)</f>
        <v>b</v>
      </c>
      <c r="M12" t="str">
        <f>")"&amp;REPT(" ",2-K13)&amp;IF(K13=0," ","")</f>
        <v xml:space="preserve">) </v>
      </c>
      <c r="O12" s="253"/>
      <c r="P12" s="207">
        <f>D12</f>
        <v>0</v>
      </c>
      <c r="Q12" s="207">
        <f t="shared" ref="Q12:Q17" si="1">E12</f>
        <v>0</v>
      </c>
      <c r="R12" s="300" t="str">
        <f t="shared" ref="R12:R17" ca="1" si="2">G12</f>
        <v/>
      </c>
      <c r="S12" s="304"/>
      <c r="T12" s="144"/>
      <c r="U12" s="206">
        <f ca="1">IF(OR(AC$8=0,SUM(Z13:AC13)=0),1,IF(L12="l","",SUM(AB13:AC13)))</f>
        <v>1</v>
      </c>
      <c r="V12" s="385"/>
      <c r="W12" s="50"/>
      <c r="Z12"/>
    </row>
    <row r="13" spans="1:30" ht="15" customHeight="1" x14ac:dyDescent="0.15">
      <c r="C13" s="186" t="s">
        <v>42</v>
      </c>
      <c r="D13" s="205" t="s">
        <v>43</v>
      </c>
      <c r="E13" s="188" t="s">
        <v>671</v>
      </c>
      <c r="F13" s="226">
        <v>57.2</v>
      </c>
      <c r="G13" s="296" t="str">
        <f ca="1">IF(L13="b","",IF(L13="l",0,FIXED(F13,K13,0)&amp;M13))</f>
        <v xml:space="preserve">57.2  </v>
      </c>
      <c r="H13" s="187" t="s">
        <v>229</v>
      </c>
      <c r="I13" s="189"/>
      <c r="K13" s="215">
        <v>1</v>
      </c>
      <c r="L13" t="str">
        <f t="shared" ca="1" si="0"/>
        <v>v</v>
      </c>
      <c r="M13" t="str">
        <f>REPT(" ",3-K13)&amp;IF(K13=0," ","")</f>
        <v xml:space="preserve">  </v>
      </c>
      <c r="O13" s="194"/>
      <c r="P13" s="208" t="str">
        <f>IF(ISNUMBER(D13),LOOKUP(D13,$AB$5:$AC$7),D13)</f>
        <v>ケ　ー　ブ　ル</v>
      </c>
      <c r="Q13" s="208" t="str">
        <f t="shared" si="1"/>
        <v xml:space="preserve">600V  EM-CET 150  ㎟    </v>
      </c>
      <c r="R13" s="301" t="str">
        <f t="shared" ca="1" si="2"/>
        <v xml:space="preserve">57.2  </v>
      </c>
      <c r="S13" s="305" t="str">
        <f>H13</f>
        <v>ｍ</v>
      </c>
      <c r="T13" s="145">
        <v>5077</v>
      </c>
      <c r="U13" s="216">
        <f ca="1">IF(L13="l","",IF(D13+F13&gt;0,SUM(Z13:AA13),-1))</f>
        <v>290404</v>
      </c>
      <c r="V13" s="386">
        <v>157</v>
      </c>
      <c r="W13" s="107"/>
      <c r="Z13" s="114">
        <f>IF(D13&gt;0,0,TRUNC(F13*T13))</f>
        <v>290404</v>
      </c>
      <c r="AA13" t="b">
        <f>IF($D13=1,SUM(Z11:Z$13)-SUM(AA11:AA$13),IF($D13=2,$AA$6,IF($D13=3,TRUNC($AA$6,-3))))</f>
        <v>0</v>
      </c>
      <c r="AB13">
        <f ca="1">IF(OR(AC$8=0,L12="l",D13&gt;0,U13=-1),0,IF(L12="b",-U13,TRUNC(F12*T13)))</f>
        <v>0</v>
      </c>
      <c r="AC13" t="b">
        <f>IF($D13=1,SUM(AB11:AB$13)-SUM(AC11:AC$13),IF($D13=2,$AA$5,IF($D13=3,TRUNC($AA$5,-3))))</f>
        <v>0</v>
      </c>
    </row>
    <row r="14" spans="1:30" ht="15" customHeight="1" x14ac:dyDescent="0.15">
      <c r="C14" s="182"/>
      <c r="D14" s="210"/>
      <c r="E14" s="184"/>
      <c r="F14" s="225"/>
      <c r="G14" s="297" t="str">
        <f ca="1">IF(OR(AC$8=0,L14="b"),"",IF(L14="l",0,"("&amp;FIXED(-F14,K15,0)&amp;M14))</f>
        <v/>
      </c>
      <c r="H14" s="183"/>
      <c r="I14" s="185"/>
      <c r="L14" t="str">
        <f t="shared" ca="1" si="0"/>
        <v>b</v>
      </c>
      <c r="M14" t="str">
        <f>")"&amp;REPT(" ",2-K15)&amp;IF(K15=0," ","")</f>
        <v xml:space="preserve">) </v>
      </c>
      <c r="O14" s="194" t="s">
        <v>85</v>
      </c>
      <c r="P14" s="207">
        <f>D14</f>
        <v>0</v>
      </c>
      <c r="Q14" s="207">
        <f t="shared" si="1"/>
        <v>0</v>
      </c>
      <c r="R14" s="300" t="str">
        <f t="shared" ca="1" si="2"/>
        <v/>
      </c>
      <c r="S14" s="304"/>
      <c r="T14" s="144"/>
      <c r="U14" s="206">
        <f ca="1">IF(OR(AC$8=0,SUM(Z15:AC15)=0),1,IF(L14="l","",SUM(AB15:AC15)))</f>
        <v>1</v>
      </c>
      <c r="V14" s="385"/>
      <c r="W14" s="50"/>
      <c r="Z14"/>
    </row>
    <row r="15" spans="1:30" ht="15" customHeight="1" x14ac:dyDescent="0.15">
      <c r="C15" s="186"/>
      <c r="D15" s="205" t="s">
        <v>101</v>
      </c>
      <c r="E15" s="188" t="s">
        <v>542</v>
      </c>
      <c r="F15" s="226">
        <v>10.8</v>
      </c>
      <c r="G15" s="296" t="str">
        <f ca="1">IF(L15="b","",IF(L15="l",0,FIXED(F15,K15,0)&amp;M15))</f>
        <v xml:space="preserve">10.8  </v>
      </c>
      <c r="H15" s="187" t="s">
        <v>229</v>
      </c>
      <c r="I15" s="189"/>
      <c r="K15" s="215">
        <v>1</v>
      </c>
      <c r="L15" t="str">
        <f t="shared" ca="1" si="0"/>
        <v>v</v>
      </c>
      <c r="M15" t="str">
        <f>REPT(" ",3-K15)&amp;IF(K15=0," ","")</f>
        <v xml:space="preserve">  </v>
      </c>
      <c r="O15" s="194"/>
      <c r="P15" s="208" t="str">
        <f>IF(ISNUMBER(D15),LOOKUP(D15,$AB$5:$AC$7),D15)</f>
        <v>〃</v>
      </c>
      <c r="Q15" s="208" t="str">
        <f t="shared" si="1"/>
        <v xml:space="preserve">600V  EM-CET  60  ㎟    </v>
      </c>
      <c r="R15" s="301" t="str">
        <f t="shared" ca="1" si="2"/>
        <v xml:space="preserve">10.8  </v>
      </c>
      <c r="S15" s="305" t="str">
        <f>H15</f>
        <v>ｍ</v>
      </c>
      <c r="T15" s="145">
        <v>2071</v>
      </c>
      <c r="U15" s="216">
        <f ca="1">IF(L15="l","",IF(D15+F15&gt;0,SUM(Z15:AA15),-1))</f>
        <v>22366</v>
      </c>
      <c r="V15" s="386">
        <v>155</v>
      </c>
      <c r="W15" s="107"/>
      <c r="Z15" s="114">
        <f>IF(D15&gt;0,0,TRUNC(F15*T15))</f>
        <v>22366</v>
      </c>
      <c r="AA15" t="b">
        <f>IF($D15=1,SUM(Z$13:Z13)-SUM(AA$13:AA13),IF($D15=2,$AA$6,IF($D15=3,TRUNC($AA$6,-3))))</f>
        <v>0</v>
      </c>
      <c r="AB15">
        <f ca="1">IF(OR(AC$8=0,L14="l",D15&gt;0,U15=-1),0,IF(L14="b",-U15,TRUNC(F14*T15)))</f>
        <v>0</v>
      </c>
      <c r="AC15" t="b">
        <f>IF($D15=1,SUM(AB$13:AB13)-SUM(AC$13:AC13),IF($D15=2,$AA$5,IF($D15=3,TRUNC($AA$5,-3))))</f>
        <v>0</v>
      </c>
    </row>
    <row r="16" spans="1:30" ht="15" customHeight="1" x14ac:dyDescent="0.15">
      <c r="C16" s="182"/>
      <c r="D16" s="210"/>
      <c r="E16" s="184"/>
      <c r="F16" s="225"/>
      <c r="G16" s="297" t="str">
        <f ca="1">IF(OR(AC$8=0,L16="b"),"",IF(L16="l",0,"("&amp;FIXED(-F16,K17,0)&amp;M16))</f>
        <v/>
      </c>
      <c r="H16" s="183"/>
      <c r="I16" s="185"/>
      <c r="L16" t="str">
        <f t="shared" ca="1" si="0"/>
        <v>b</v>
      </c>
      <c r="M16" t="str">
        <f>")"&amp;REPT(" ",2-K17)&amp;IF(K17=0," ","")</f>
        <v xml:space="preserve">) </v>
      </c>
      <c r="O16" s="194" t="s">
        <v>86</v>
      </c>
      <c r="P16" s="207">
        <f>D16</f>
        <v>0</v>
      </c>
      <c r="Q16" s="207">
        <f t="shared" si="1"/>
        <v>0</v>
      </c>
      <c r="R16" s="300" t="str">
        <f t="shared" ca="1" si="2"/>
        <v/>
      </c>
      <c r="S16" s="304"/>
      <c r="T16" s="144"/>
      <c r="U16" s="206">
        <f ca="1">IF(OR(AC$8=0,SUM(Z17:AC17)=0),1,IF(L16="l","",SUM(AB17:AC17)))</f>
        <v>1</v>
      </c>
      <c r="V16" s="385"/>
      <c r="W16" s="50"/>
      <c r="Z16"/>
    </row>
    <row r="17" spans="3:29" ht="15" customHeight="1" x14ac:dyDescent="0.15">
      <c r="C17" s="186"/>
      <c r="D17" s="205" t="s">
        <v>101</v>
      </c>
      <c r="E17" s="188" t="s">
        <v>564</v>
      </c>
      <c r="F17" s="226">
        <v>65.8</v>
      </c>
      <c r="G17" s="296" t="str">
        <f ca="1">IF(L17="b","",IF(L17="l",0,FIXED(F17,K17,0)&amp;M17))</f>
        <v xml:space="preserve">65.8  </v>
      </c>
      <c r="H17" s="187" t="s">
        <v>229</v>
      </c>
      <c r="I17" s="189"/>
      <c r="K17" s="215">
        <v>1</v>
      </c>
      <c r="L17" t="str">
        <f t="shared" ca="1" si="0"/>
        <v>v</v>
      </c>
      <c r="M17" t="str">
        <f>REPT(" ",3-K17)&amp;IF(K17=0," ","")</f>
        <v xml:space="preserve">  </v>
      </c>
      <c r="O17" s="194"/>
      <c r="P17" s="208" t="str">
        <f>IF(ISNUMBER(D17),LOOKUP(D17,$AB$5:$AC$7),D17)</f>
        <v>〃</v>
      </c>
      <c r="Q17" s="208" t="str">
        <f t="shared" si="1"/>
        <v>600V  EM-CE   14  ㎟ -3C</v>
      </c>
      <c r="R17" s="301" t="str">
        <f t="shared" ca="1" si="2"/>
        <v xml:space="preserve">65.8  </v>
      </c>
      <c r="S17" s="305" t="str">
        <f>H17</f>
        <v>ｍ</v>
      </c>
      <c r="T17" s="145">
        <v>571</v>
      </c>
      <c r="U17" s="216">
        <f ca="1">IF(L17="l","",IF(D17+F17&gt;0,SUM(Z17:AA17),-1))</f>
        <v>37571</v>
      </c>
      <c r="V17" s="386">
        <v>94</v>
      </c>
      <c r="W17" s="107"/>
      <c r="Z17" s="114">
        <f>IF(D17&gt;0,0,TRUNC(F17*T17))</f>
        <v>37571</v>
      </c>
      <c r="AA17" t="b">
        <f>IF($D17=1,SUM(Z$13:Z15)-SUM(AA$13:AA15),IF($D17=2,$AA$6,IF($D17=3,TRUNC($AA$6,-3))))</f>
        <v>0</v>
      </c>
      <c r="AB17">
        <f ca="1">IF(OR(AC$8=0,L16="l",D17&gt;0,U17=-1),0,IF(L16="b",-U17,TRUNC(F16*T17)))</f>
        <v>0</v>
      </c>
      <c r="AC17" t="b">
        <f>IF($D17=1,SUM(AB$13:AB15)-SUM(AC$13:AC15),IF($D17=2,$AA$5,IF($D17=3,TRUNC($AA$5,-3))))</f>
        <v>0</v>
      </c>
    </row>
    <row r="18" spans="3:29" ht="15" customHeight="1" x14ac:dyDescent="0.15">
      <c r="C18" s="182"/>
      <c r="D18" s="210"/>
      <c r="E18" s="184"/>
      <c r="F18" s="225"/>
      <c r="G18" s="297" t="str">
        <f ca="1">IF(OR(AC$8=0,L18="b"),"",IF(L18="l",0,"("&amp;FIXED(-F18,K19,0)&amp;M18))</f>
        <v/>
      </c>
      <c r="H18" s="183"/>
      <c r="I18" s="185"/>
      <c r="L18" t="str">
        <f t="shared" ref="L18:L39" ca="1" si="3">CELL("type",F18)</f>
        <v>b</v>
      </c>
      <c r="M18" t="str">
        <f>")"&amp;REPT(" ",2-K19)&amp;IF(K19=0," ","")</f>
        <v xml:space="preserve">) </v>
      </c>
      <c r="O18" s="194" t="s">
        <v>37</v>
      </c>
      <c r="P18" s="207">
        <f>D18</f>
        <v>0</v>
      </c>
      <c r="Q18" s="207">
        <f>E18</f>
        <v>0</v>
      </c>
      <c r="R18" s="300" t="str">
        <f t="shared" ref="R18:R39" ca="1" si="4">G18</f>
        <v/>
      </c>
      <c r="S18" s="304"/>
      <c r="T18" s="144"/>
      <c r="U18" s="206">
        <f ca="1">IF(OR(AC$8=0,SUM(Z19:AC19)=0),1,IF(L18="l","",SUM(AB19:AC19)))</f>
        <v>1</v>
      </c>
      <c r="V18" s="385"/>
      <c r="W18" s="50"/>
      <c r="Z18"/>
    </row>
    <row r="19" spans="3:29" ht="15" customHeight="1" x14ac:dyDescent="0.15">
      <c r="C19" s="186"/>
      <c r="D19" s="205" t="s">
        <v>101</v>
      </c>
      <c r="E19" s="188" t="s">
        <v>672</v>
      </c>
      <c r="F19" s="226">
        <v>10.8</v>
      </c>
      <c r="G19" s="296" t="str">
        <f ca="1">IF(L19="b","",IF(L19="l",0,FIXED(F19,K19,0)&amp;M19))</f>
        <v xml:space="preserve">10.8  </v>
      </c>
      <c r="H19" s="187" t="s">
        <v>311</v>
      </c>
      <c r="I19" s="189"/>
      <c r="K19" s="215">
        <v>1</v>
      </c>
      <c r="L19" t="str">
        <f t="shared" ca="1" si="3"/>
        <v>v</v>
      </c>
      <c r="M19" t="str">
        <f>REPT(" ",3-K19)&amp;IF(K19=0," ","")</f>
        <v xml:space="preserve">  </v>
      </c>
      <c r="O19" s="194"/>
      <c r="P19" s="208" t="str">
        <f>IF(ISNUMBER(D19),LOOKUP(D19,$AB$5:$AC$7),D19)</f>
        <v>〃</v>
      </c>
      <c r="Q19" s="208" t="str">
        <f t="shared" ref="Q19:Q25" si="5">E19</f>
        <v>600V  EM-CE    8  ㎟ -3C</v>
      </c>
      <c r="R19" s="301" t="str">
        <f t="shared" ca="1" si="4"/>
        <v xml:space="preserve">10.8  </v>
      </c>
      <c r="S19" s="305" t="str">
        <f>H19</f>
        <v>ｍ</v>
      </c>
      <c r="T19" s="145">
        <v>383</v>
      </c>
      <c r="U19" s="216">
        <f ca="1">IF(L19="l","",IF(D19+F19&gt;0,SUM(Z19:AA19),-1))</f>
        <v>4136</v>
      </c>
      <c r="V19" s="386">
        <v>93</v>
      </c>
      <c r="W19" s="107"/>
      <c r="Z19" s="114">
        <f>IF(D19&gt;0,0,TRUNC(F19*T19))</f>
        <v>4136</v>
      </c>
      <c r="AA19" t="b">
        <f>IF($D19=1,SUM(Z$13:Z17)-SUM(AA$13:AA17),IF($D19=2,$AA$6,IF($D19=3,TRUNC($AA$6,-3))))</f>
        <v>0</v>
      </c>
      <c r="AB19">
        <f ca="1">IF(OR(AC$8=0,L18="l",D19&gt;0,U19=-1),0,IF(L18="b",-U19,TRUNC(F18*T19)))</f>
        <v>0</v>
      </c>
      <c r="AC19" t="b">
        <f>IF($D19=1,SUM(AB$13:AB17)-SUM(AC$13:AC17),IF($D19=2,$AA$5,IF($D19=3,TRUNC($AA$5,-3))))</f>
        <v>0</v>
      </c>
    </row>
    <row r="20" spans="3:29" ht="15" customHeight="1" x14ac:dyDescent="0.15">
      <c r="C20" s="182"/>
      <c r="D20" s="210"/>
      <c r="E20" s="184"/>
      <c r="F20" s="225"/>
      <c r="G20" s="297" t="str">
        <f ca="1">IF(OR(AC$8=0,L20="b"),"",IF(L20="l",0,"("&amp;FIXED(-F20,K21,0)&amp;M20))</f>
        <v/>
      </c>
      <c r="H20" s="183"/>
      <c r="I20" s="185"/>
      <c r="L20" t="str">
        <f t="shared" ca="1" si="3"/>
        <v>b</v>
      </c>
      <c r="M20" t="str">
        <f>")"&amp;REPT(" ",2-K21)&amp;IF(K21=0," ","")</f>
        <v xml:space="preserve">) </v>
      </c>
      <c r="O20" s="194" t="s">
        <v>7</v>
      </c>
      <c r="P20" s="207">
        <f>D20</f>
        <v>0</v>
      </c>
      <c r="Q20" s="207">
        <f t="shared" si="5"/>
        <v>0</v>
      </c>
      <c r="R20" s="300" t="str">
        <f t="shared" ca="1" si="4"/>
        <v/>
      </c>
      <c r="S20" s="304"/>
      <c r="T20" s="144"/>
      <c r="U20" s="206">
        <f ca="1">IF(OR(AC$8=0,SUM(Z21:AC21)=0),1,IF(L20="l","",SUM(AB21:AC21)))</f>
        <v>1</v>
      </c>
      <c r="V20" s="385"/>
      <c r="W20" s="50"/>
      <c r="Z20"/>
    </row>
    <row r="21" spans="3:29" ht="15" customHeight="1" x14ac:dyDescent="0.15">
      <c r="C21" s="186"/>
      <c r="D21" s="205" t="s">
        <v>341</v>
      </c>
      <c r="E21" s="188" t="s">
        <v>543</v>
      </c>
      <c r="F21" s="226">
        <v>35.6</v>
      </c>
      <c r="G21" s="296" t="str">
        <f ca="1">IF(L21="b","",IF(L21="l",0,FIXED(F21,K21,0)&amp;M21))</f>
        <v xml:space="preserve">35.6  </v>
      </c>
      <c r="H21" s="187" t="s">
        <v>311</v>
      </c>
      <c r="I21" s="189"/>
      <c r="K21" s="215">
        <v>1</v>
      </c>
      <c r="L21" t="str">
        <f t="shared" ca="1" si="3"/>
        <v>v</v>
      </c>
      <c r="M21" t="str">
        <f>REPT(" ",3-K21)&amp;IF(K21=0," ","")</f>
        <v xml:space="preserve">  </v>
      </c>
      <c r="O21" s="194"/>
      <c r="P21" s="208" t="str">
        <f>IF(ISNUMBER(D21),LOOKUP(D21,$AB$5:$AC$7),D21)</f>
        <v>電　　　　　線</v>
      </c>
      <c r="Q21" s="208" t="str">
        <f t="shared" si="5"/>
        <v xml:space="preserve">600V  EM-IE    5.5㎟    </v>
      </c>
      <c r="R21" s="301" t="str">
        <f t="shared" ca="1" si="4"/>
        <v xml:space="preserve">35.6  </v>
      </c>
      <c r="S21" s="305" t="str">
        <f>H21</f>
        <v>ｍ</v>
      </c>
      <c r="T21" s="145">
        <v>81</v>
      </c>
      <c r="U21" s="216">
        <f ca="1">IF(L21="l","",IF(D21+F21&gt;0,SUM(Z21:AA21),-1))</f>
        <v>2883</v>
      </c>
      <c r="V21" s="386">
        <v>66</v>
      </c>
      <c r="W21" s="107"/>
      <c r="Z21" s="114">
        <f>IF(D21&gt;0,0,TRUNC(F21*T21))</f>
        <v>2883</v>
      </c>
      <c r="AA21" t="b">
        <f>IF($D21=1,SUM(Z$13:Z19)-SUM(AA$13:AA19),IF($D21=2,$AA$6,IF($D21=3,TRUNC($AA$6,-3))))</f>
        <v>0</v>
      </c>
      <c r="AB21">
        <f ca="1">IF(OR(AC$8=0,L20="l",D21&gt;0,U21=-1),0,IF(L20="b",-U21,TRUNC(F20*T21)))</f>
        <v>0</v>
      </c>
      <c r="AC21" t="b">
        <f>IF($D21=1,SUM(AB$13:AB19)-SUM(AC$13:AC19),IF($D21=2,$AA$5,IF($D21=3,TRUNC($AA$5,-3))))</f>
        <v>0</v>
      </c>
    </row>
    <row r="22" spans="3:29" ht="15" customHeight="1" x14ac:dyDescent="0.15">
      <c r="C22" s="182"/>
      <c r="D22" s="210"/>
      <c r="E22" s="184"/>
      <c r="F22" s="225"/>
      <c r="G22" s="297" t="str">
        <f ca="1">IF(OR(AC$8=0,L22="b"),"",IF(L22="l",0,"("&amp;FIXED(-F22,K23,0)&amp;M22))</f>
        <v/>
      </c>
      <c r="H22" s="183"/>
      <c r="I22" s="185"/>
      <c r="L22" t="str">
        <f t="shared" ca="1" si="3"/>
        <v>b</v>
      </c>
      <c r="M22" t="str">
        <f>")"&amp;REPT(" ",2-K23)&amp;IF(K23=0," ","")</f>
        <v xml:space="preserve">) </v>
      </c>
      <c r="O22" s="463" t="s">
        <v>345</v>
      </c>
      <c r="P22" s="207">
        <f>D22</f>
        <v>0</v>
      </c>
      <c r="Q22" s="207">
        <f t="shared" si="5"/>
        <v>0</v>
      </c>
      <c r="R22" s="300" t="str">
        <f t="shared" ca="1" si="4"/>
        <v/>
      </c>
      <c r="S22" s="304"/>
      <c r="T22" s="144"/>
      <c r="U22" s="206">
        <f ca="1">IF(OR(AC$8=0,SUM(Z23:AC23)=0),1,IF(L22="l","",SUM(AB23:AC23)))</f>
        <v>1</v>
      </c>
      <c r="V22" s="385"/>
      <c r="W22" s="50"/>
      <c r="Z22"/>
    </row>
    <row r="23" spans="3:29" ht="15" customHeight="1" x14ac:dyDescent="0.15">
      <c r="C23" s="186"/>
      <c r="D23" s="205" t="s">
        <v>101</v>
      </c>
      <c r="E23" s="188" t="s">
        <v>544</v>
      </c>
      <c r="F23" s="226">
        <v>10.8</v>
      </c>
      <c r="G23" s="296" t="str">
        <f ca="1">IF(L23="b","",IF(L23="l",0,FIXED(F23,K23,0)&amp;M23))</f>
        <v xml:space="preserve">10.8  </v>
      </c>
      <c r="H23" s="187" t="s">
        <v>311</v>
      </c>
      <c r="I23" s="189"/>
      <c r="K23" s="215">
        <v>1</v>
      </c>
      <c r="L23" t="str">
        <f t="shared" ca="1" si="3"/>
        <v>v</v>
      </c>
      <c r="M23" t="str">
        <f>REPT(" ",3-K23)&amp;IF(K23=0," ","")</f>
        <v xml:space="preserve">  </v>
      </c>
      <c r="O23" s="194"/>
      <c r="P23" s="208" t="str">
        <f>IF(ISNUMBER(D23),LOOKUP(D23,$AB$5:$AC$7),D23)</f>
        <v>〃</v>
      </c>
      <c r="Q23" s="208" t="str">
        <f t="shared" si="5"/>
        <v xml:space="preserve">600V  EM-IE   14  ㎟    </v>
      </c>
      <c r="R23" s="301" t="str">
        <f t="shared" ca="1" si="4"/>
        <v xml:space="preserve">10.8  </v>
      </c>
      <c r="S23" s="305" t="str">
        <f>H23</f>
        <v>ｍ</v>
      </c>
      <c r="T23" s="471">
        <v>191</v>
      </c>
      <c r="U23" s="216">
        <f ca="1">IF(L23="l","",IF(D23+F23&gt;0,SUM(Z23:AA23),-1))</f>
        <v>2062</v>
      </c>
      <c r="V23" s="386">
        <v>68</v>
      </c>
      <c r="W23" s="107"/>
      <c r="Z23" s="114">
        <f>IF(D23&gt;0,0,TRUNC(F23*T23))</f>
        <v>2062</v>
      </c>
      <c r="AA23" t="b">
        <f>IF($D23=1,SUM(Z$13:Z21)-SUM(AA$13:AA21),IF($D23=2,$AA$6,IF($D23=3,TRUNC($AA$6,-3))))</f>
        <v>0</v>
      </c>
      <c r="AB23">
        <f ca="1">IF(OR(AC$8=0,L22="l",D23&gt;0,U23=-1),0,IF(L22="b",-U23,TRUNC(F22*T23)))</f>
        <v>0</v>
      </c>
      <c r="AC23" t="b">
        <f>IF($D23=1,SUM(AB$13:AB21)-SUM(AC$13:AC21),IF($D23=2,$AA$5,IF($D23=3,TRUNC($AA$5,-3))))</f>
        <v>0</v>
      </c>
    </row>
    <row r="24" spans="3:29" ht="15" customHeight="1" x14ac:dyDescent="0.15">
      <c r="C24" s="182"/>
      <c r="D24" s="210"/>
      <c r="E24" s="184"/>
      <c r="F24" s="225"/>
      <c r="G24" s="297" t="str">
        <f ca="1">IF(OR(AC$8=0,L24="b"),"",IF(L24="l",0,"("&amp;FIXED(-F24,K25,0)&amp;M24))</f>
        <v/>
      </c>
      <c r="H24" s="183"/>
      <c r="I24" s="185"/>
      <c r="L24" t="str">
        <f t="shared" ca="1" si="3"/>
        <v>b</v>
      </c>
      <c r="M24" t="str">
        <f>")"&amp;REPT(" ",2-K25)&amp;IF(K25=0," ","")</f>
        <v xml:space="preserve">) </v>
      </c>
      <c r="O24" s="194" t="s">
        <v>369</v>
      </c>
      <c r="P24" s="207">
        <f>D24</f>
        <v>0</v>
      </c>
      <c r="Q24" s="207">
        <f t="shared" si="5"/>
        <v>0</v>
      </c>
      <c r="R24" s="300" t="str">
        <f t="shared" ca="1" si="4"/>
        <v/>
      </c>
      <c r="S24" s="304"/>
      <c r="T24" s="144"/>
      <c r="U24" s="206">
        <f ca="1">IF(OR(AC$8=0,SUM(Z25:AC25)=0),1,IF(L24="l","",SUM(AB25:AC25)))</f>
        <v>1</v>
      </c>
      <c r="V24" s="385"/>
      <c r="W24" s="50"/>
      <c r="Z24"/>
    </row>
    <row r="25" spans="3:29" ht="15" customHeight="1" x14ac:dyDescent="0.15">
      <c r="C25" s="186"/>
      <c r="D25" s="205" t="s">
        <v>101</v>
      </c>
      <c r="E25" s="188" t="s">
        <v>545</v>
      </c>
      <c r="F25" s="226">
        <v>14</v>
      </c>
      <c r="G25" s="296" t="str">
        <f ca="1">IF(L25="b","",IF(L25="l",0,FIXED(F25,K25,0)&amp;M25))</f>
        <v xml:space="preserve">14.0  </v>
      </c>
      <c r="H25" s="187" t="s">
        <v>476</v>
      </c>
      <c r="I25" s="189"/>
      <c r="K25" s="215">
        <v>1</v>
      </c>
      <c r="L25" t="str">
        <f t="shared" ca="1" si="3"/>
        <v>v</v>
      </c>
      <c r="M25" t="str">
        <f>REPT(" ",3-K25)&amp;IF(K25=0," ","")</f>
        <v xml:space="preserve">  </v>
      </c>
      <c r="O25" s="194"/>
      <c r="P25" s="208" t="str">
        <f>IF(ISNUMBER(D25),LOOKUP(D25,$AB$5:$AC$7),D25)</f>
        <v>〃</v>
      </c>
      <c r="Q25" s="208" t="str">
        <f t="shared" si="5"/>
        <v xml:space="preserve">600V  EM-IE   22  ㎟    </v>
      </c>
      <c r="R25" s="301" t="str">
        <f t="shared" ca="1" si="4"/>
        <v xml:space="preserve">14.0  </v>
      </c>
      <c r="S25" s="305" t="str">
        <f>H25</f>
        <v>ｍ</v>
      </c>
      <c r="T25" s="471">
        <v>283</v>
      </c>
      <c r="U25" s="216">
        <f ca="1">IF(L25="l","",IF(D25+F25&gt;0,SUM(Z25:AA25),-1))</f>
        <v>3962</v>
      </c>
      <c r="V25" s="386">
        <v>69</v>
      </c>
      <c r="W25" s="107"/>
      <c r="Z25" s="114">
        <f>IF(D25&gt;0,0,TRUNC(F25*T25))</f>
        <v>3962</v>
      </c>
      <c r="AA25" t="b">
        <f>IF($D25=1,SUM(Z$13:Z23)-SUM(AA$13:AA23),IF($D25=2,$AA$6,IF($D25=3,TRUNC($AA$6,-3))))</f>
        <v>0</v>
      </c>
      <c r="AB25">
        <f ca="1">IF(OR(AC$8=0,L24="l",D25&gt;0,U25=-1),0,IF(L24="b",-U25,TRUNC(F24*T25)))</f>
        <v>0</v>
      </c>
      <c r="AC25" t="b">
        <f>IF($D25=1,SUM(AB$13:AB23)-SUM(AC$13:AC23),IF($D25=2,$AA$5,IF($D25=3,TRUNC($AA$5,-3))))</f>
        <v>0</v>
      </c>
    </row>
    <row r="26" spans="3:29" ht="15" customHeight="1" x14ac:dyDescent="0.15">
      <c r="C26" s="182"/>
      <c r="D26" s="210"/>
      <c r="E26" s="184"/>
      <c r="F26" s="227"/>
      <c r="G26" s="297" t="str">
        <f ca="1">IF(OR(AC$8=0,L26="b"),"",IF(L26="l",0,"("&amp;FIXED(-F26,K27,0)&amp;M26))</f>
        <v/>
      </c>
      <c r="H26" s="183"/>
      <c r="I26" s="185"/>
      <c r="L26" t="str">
        <f t="shared" ca="1" si="3"/>
        <v>b</v>
      </c>
      <c r="M26" t="str">
        <f>")"&amp;REPT(" ",2-K27)&amp;IF(K27=0," ","")</f>
        <v xml:space="preserve">)   </v>
      </c>
      <c r="O26" s="408" t="s">
        <v>370</v>
      </c>
      <c r="P26" s="207">
        <f>D26</f>
        <v>0</v>
      </c>
      <c r="Q26" s="207">
        <f>E26</f>
        <v>0</v>
      </c>
      <c r="R26" s="300" t="str">
        <f t="shared" ca="1" si="4"/>
        <v/>
      </c>
      <c r="S26" s="304"/>
      <c r="T26" s="144"/>
      <c r="U26" s="206">
        <f ca="1">IF(OR(AC$8=0,SUM(Z27:AC27)=0),1,IF(L26="l","",SUM(AB27:AC27)))</f>
        <v>1</v>
      </c>
      <c r="V26" s="385"/>
      <c r="W26" s="197" t="str">
        <f ca="1">IF(OR(AC$8=0,Y26+Y27=0),"",CONCATENATE("(",FIXED(-Y26,0),")"))</f>
        <v/>
      </c>
      <c r="Y26">
        <f ca="1">SUM(AB$13:AB25)</f>
        <v>0</v>
      </c>
      <c r="Z26"/>
    </row>
    <row r="27" spans="3:29" ht="15" customHeight="1" x14ac:dyDescent="0.15">
      <c r="C27" s="186"/>
      <c r="D27" s="205" t="s">
        <v>233</v>
      </c>
      <c r="E27" s="188" t="s">
        <v>51</v>
      </c>
      <c r="F27" s="226">
        <v>1</v>
      </c>
      <c r="G27" s="296" t="str">
        <f ca="1">IF(L27="b","",IF(L27="l",0,FIXED(F27,K27,0)&amp;M27))</f>
        <v xml:space="preserve">1    </v>
      </c>
      <c r="H27" s="187" t="s">
        <v>99</v>
      </c>
      <c r="I27" s="189"/>
      <c r="K27" s="215"/>
      <c r="L27" t="str">
        <f t="shared" ca="1" si="3"/>
        <v>v</v>
      </c>
      <c r="M27" t="str">
        <f>REPT(" ",3-K27)&amp;IF(K27=0," ","")</f>
        <v xml:space="preserve">    </v>
      </c>
      <c r="O27" s="194"/>
      <c r="P27" s="208" t="str">
        <f>IF(ISNUMBER(D27),LOOKUP(D27,$AB$5:$AC$7),D27)</f>
        <v>付  属  材  料</v>
      </c>
      <c r="Q27" s="208" t="str">
        <f t="shared" ref="Q27:Q47" si="6">E27</f>
        <v>上記材料費の 1.5％</v>
      </c>
      <c r="R27" s="301" t="str">
        <f t="shared" ca="1" si="4"/>
        <v xml:space="preserve">1    </v>
      </c>
      <c r="S27" s="305" t="str">
        <f>H27</f>
        <v>式</v>
      </c>
      <c r="T27" s="145"/>
      <c r="U27" s="216">
        <f ca="1">IF(L27="l","",IF(D27+F27&gt;0,SUM(Z27:AA27),-1))</f>
        <v>5450</v>
      </c>
      <c r="V27" s="386"/>
      <c r="W27" s="142" t="str">
        <f>TEXT(Y27,"#,0×")&amp;TEXT(X27,"0.000＝")</f>
        <v>363,384×0.015＝</v>
      </c>
      <c r="X27">
        <f>VALUE(RIGHT(E27,4))</f>
        <v>1.4999999999999999E-2</v>
      </c>
      <c r="Y27" s="114">
        <f>SUM(Z$13:Z25)</f>
        <v>363384</v>
      </c>
      <c r="Z27" s="114">
        <f>IF(D27&gt;0,0,TRUNC(F27*T27+Y27*X27))</f>
        <v>5450</v>
      </c>
      <c r="AA27" t="b">
        <f>IF($D27=1,SUM(Z$13:Z25)-SUM(AA$13:AA25),IF($D27=2,$AA$6,IF($D27=3,TRUNC($AA$6,-3))))</f>
        <v>0</v>
      </c>
      <c r="AB27">
        <f ca="1">IF(OR(AC$8=0,L26="l",D27&gt;0,U27=-1),0,IF(L26="b",-U27,TRUNC(F26*T27)))</f>
        <v>0</v>
      </c>
      <c r="AC27" t="b">
        <f>IF($D27=1,SUM(AB$13:AB25)-SUM(AC$13:AC25),IF($D27=2,$AA$5,IF($D27=3,TRUNC($AA$5,-3))))</f>
        <v>0</v>
      </c>
    </row>
    <row r="28" spans="3:29" ht="15" customHeight="1" x14ac:dyDescent="0.15">
      <c r="C28" s="182"/>
      <c r="D28" s="214"/>
      <c r="E28" s="184"/>
      <c r="F28" s="227"/>
      <c r="G28" s="297" t="str">
        <f ca="1">IF(OR(AC$8=0,L28="b"),"",IF(L28="l",0,"("&amp;FIXED(-F28,K29,0)&amp;M28))</f>
        <v/>
      </c>
      <c r="H28" s="183"/>
      <c r="I28" s="185"/>
      <c r="L28" t="str">
        <f t="shared" ca="1" si="3"/>
        <v>b</v>
      </c>
      <c r="M28" t="str">
        <f>")"&amp;REPT(" ",2-K29)&amp;IF(K29=0," ","")</f>
        <v xml:space="preserve">)   </v>
      </c>
      <c r="O28" s="194"/>
      <c r="P28" s="317">
        <f>D28</f>
        <v>0</v>
      </c>
      <c r="Q28" s="207">
        <f t="shared" si="6"/>
        <v>0</v>
      </c>
      <c r="R28" s="300" t="str">
        <f t="shared" ca="1" si="4"/>
        <v/>
      </c>
      <c r="S28" s="304"/>
      <c r="T28" s="144"/>
      <c r="U28" s="206">
        <f ca="1">IF(OR(AC$8=0,SUM(Z29:AC29)=0),1,IF(L28="l","",SUM(AB29:AC29)))</f>
        <v>1</v>
      </c>
      <c r="V28" s="385"/>
      <c r="W28" s="50"/>
      <c r="Z28"/>
    </row>
    <row r="29" spans="3:29" ht="15" customHeight="1" x14ac:dyDescent="0.15">
      <c r="C29" s="186"/>
      <c r="D29" s="213"/>
      <c r="E29" s="188"/>
      <c r="F29" s="226"/>
      <c r="G29" s="296" t="str">
        <f ca="1">IF(L29="b","",IF(L29="l",0,FIXED(F29,K29,0)&amp;M29))</f>
        <v/>
      </c>
      <c r="H29" s="187"/>
      <c r="I29" s="189"/>
      <c r="K29" s="215"/>
      <c r="L29" t="str">
        <f t="shared" ca="1" si="3"/>
        <v>b</v>
      </c>
      <c r="M29" t="str">
        <f>REPT(" ",3-K29)&amp;IF(K29=0," ","")</f>
        <v xml:space="preserve">    </v>
      </c>
      <c r="O29" s="194"/>
      <c r="P29" s="256">
        <f>IF(ISNUMBER(D29),LOOKUP(D29,$AB$5:$AC$7),D29)</f>
        <v>0</v>
      </c>
      <c r="Q29" s="208">
        <f t="shared" si="6"/>
        <v>0</v>
      </c>
      <c r="R29" s="301" t="str">
        <f t="shared" ca="1" si="4"/>
        <v/>
      </c>
      <c r="S29" s="305">
        <f>H29</f>
        <v>0</v>
      </c>
      <c r="T29" s="145"/>
      <c r="U29" s="216">
        <f ca="1">IF(L29="l","",IF(D29+F29&gt;0,SUM(Z29:AA29),-1))</f>
        <v>-1</v>
      </c>
      <c r="V29" s="386"/>
      <c r="W29" s="107"/>
      <c r="Z29" s="114">
        <f>IF(D29&gt;0,0,TRUNC(F29*T29+Y29*X29))</f>
        <v>0</v>
      </c>
      <c r="AA29" t="b">
        <f>IF($D29=1,SUM(Z$13:Z27)-SUM(AA$13:AA27),IF($D29=2,$AA$6,IF($D29=3,TRUNC($AA$6,-3))))</f>
        <v>0</v>
      </c>
      <c r="AB29">
        <f ca="1">IF(OR(AC$8=0,L28="l",D29&gt;0,U29=-1),0,IF(L28="b",-U29,TRUNC(F28*T29)))</f>
        <v>0</v>
      </c>
      <c r="AC29" t="b">
        <f>IF($D29=1,SUM(AB$13:AB27)-SUM(AC$13:AC27),IF($D29=2,$AA$5,IF($D29=3,TRUNC($AA$5,-3))))</f>
        <v>0</v>
      </c>
    </row>
    <row r="30" spans="3:29" ht="15" customHeight="1" x14ac:dyDescent="0.15">
      <c r="C30" s="182"/>
      <c r="D30" s="210"/>
      <c r="E30" s="184"/>
      <c r="F30" s="227"/>
      <c r="G30" s="297" t="str">
        <f ca="1">IF(OR(AC$8=0,L30="b"),"",IF(L30="l",0,"("&amp;FIXED(-F30,K31,0)&amp;M30))</f>
        <v/>
      </c>
      <c r="H30" s="183"/>
      <c r="I30" s="185"/>
      <c r="L30" t="str">
        <f t="shared" ca="1" si="3"/>
        <v>b</v>
      </c>
      <c r="M30" t="str">
        <f>")"&amp;REPT(" ",2-K31)&amp;IF(K31=0," ","")</f>
        <v xml:space="preserve">)   </v>
      </c>
      <c r="O30" s="194"/>
      <c r="P30" s="207">
        <f>D30</f>
        <v>0</v>
      </c>
      <c r="Q30" s="207">
        <f t="shared" si="6"/>
        <v>0</v>
      </c>
      <c r="R30" s="300" t="str">
        <f t="shared" ca="1" si="4"/>
        <v/>
      </c>
      <c r="S30" s="304"/>
      <c r="T30" s="144"/>
      <c r="U30" s="206">
        <f ca="1">IF(OR(AC$8=0,SUM(Z31:AC31)=0),1,IF(L30="l","",SUM(AB31:AC31)))</f>
        <v>1</v>
      </c>
      <c r="V30" s="385"/>
      <c r="W30" s="50"/>
      <c r="Z30"/>
    </row>
    <row r="31" spans="3:29" ht="15" customHeight="1" x14ac:dyDescent="0.15">
      <c r="C31" s="186"/>
      <c r="D31" s="205">
        <v>1</v>
      </c>
      <c r="E31" s="188"/>
      <c r="F31" s="226"/>
      <c r="G31" s="296" t="str">
        <f ca="1">IF(L31="b","",IF(L31="l",0,FIXED(F31,K31,0)&amp;M31))</f>
        <v/>
      </c>
      <c r="H31" s="187"/>
      <c r="I31" s="189"/>
      <c r="K31" s="215"/>
      <c r="L31" t="str">
        <f t="shared" ca="1" si="3"/>
        <v>b</v>
      </c>
      <c r="M31" t="str">
        <f>REPT(" ",3-K31)&amp;IF(K31=0," ","")</f>
        <v xml:space="preserve">    </v>
      </c>
      <c r="O31" s="194"/>
      <c r="P31" s="208" t="str">
        <f>IF(ISNUMBER(D31),LOOKUP(D31,$AB$5:$AC$7),D31)</f>
        <v>小    　計</v>
      </c>
      <c r="Q31" s="208">
        <f t="shared" si="6"/>
        <v>0</v>
      </c>
      <c r="R31" s="301" t="str">
        <f t="shared" ca="1" si="4"/>
        <v/>
      </c>
      <c r="S31" s="305">
        <f>H31</f>
        <v>0</v>
      </c>
      <c r="T31" s="145"/>
      <c r="U31" s="216">
        <f ca="1">IF(L31="l","",IF(D31+F31&gt;0,SUM(Z31:AA31),-1))</f>
        <v>368834</v>
      </c>
      <c r="V31" s="386"/>
      <c r="W31" s="107"/>
      <c r="Z31" s="114">
        <f>IF(D31&gt;0,0,TRUNC(F31*T31+Y31*X31))</f>
        <v>0</v>
      </c>
      <c r="AA31">
        <f>IF($D31=1,SUM(Z$13:Z29)-SUM(AA$13:AA29),IF($D31=2,$AA$6,IF($D31=3,TRUNC($AA$6,-3))))</f>
        <v>368834</v>
      </c>
      <c r="AB31">
        <f ca="1">IF(OR(AC$8=0,L30="l",D31&gt;0,U31=-1),0,IF(L30="b",-U31,TRUNC(F30*T31)))</f>
        <v>0</v>
      </c>
      <c r="AC31">
        <f ca="1">IF($D31=1,SUM(AB$13:AB29)-SUM(AC$13:AC29),IF($D31=2,$AA$5,IF($D31=3,TRUNC($AA$5,-3))))</f>
        <v>0</v>
      </c>
    </row>
    <row r="32" spans="3:29" ht="15" customHeight="1" x14ac:dyDescent="0.15">
      <c r="C32" s="182"/>
      <c r="D32" s="214" t="s">
        <v>687</v>
      </c>
      <c r="E32" s="184"/>
      <c r="F32" s="227"/>
      <c r="G32" s="297" t="str">
        <f ca="1">IF(OR(AC$8=0,L32="b"),"",IF(L32="l",0,"("&amp;FIXED(-F32,K33,0)&amp;M32))</f>
        <v/>
      </c>
      <c r="H32" s="183"/>
      <c r="I32" s="185"/>
      <c r="L32" t="str">
        <f t="shared" ca="1" si="3"/>
        <v>b</v>
      </c>
      <c r="M32" t="str">
        <f>")"&amp;REPT(" ",2-K33)&amp;IF(K33=0," ","")</f>
        <v xml:space="preserve">) </v>
      </c>
      <c r="O32" s="194"/>
      <c r="P32" s="317" t="str">
        <f>D32</f>
        <v>　耐衝撃性</v>
      </c>
      <c r="Q32" s="207">
        <f t="shared" si="6"/>
        <v>0</v>
      </c>
      <c r="R32" s="300" t="str">
        <f t="shared" ca="1" si="4"/>
        <v/>
      </c>
      <c r="S32" s="304"/>
      <c r="T32" s="144"/>
      <c r="U32" s="206">
        <f ca="1">IF(OR(AC$8=0,SUM(Z33:AC33)=0),1,IF(L32="l","",SUM(AB33:AC33)))</f>
        <v>1</v>
      </c>
      <c r="V32" s="385"/>
      <c r="W32" s="197"/>
      <c r="Z32"/>
    </row>
    <row r="33" spans="3:29" ht="15" customHeight="1" x14ac:dyDescent="0.15">
      <c r="C33" s="186" t="s">
        <v>52</v>
      </c>
      <c r="D33" s="213" t="s">
        <v>353</v>
      </c>
      <c r="E33" s="188" t="s">
        <v>380</v>
      </c>
      <c r="F33" s="226">
        <v>0.9</v>
      </c>
      <c r="G33" s="296" t="str">
        <f ca="1">IF(L33="b","",IF(L33="l",0,FIXED(F33,K33,0)&amp;M33))</f>
        <v xml:space="preserve">0.9  </v>
      </c>
      <c r="H33" s="187" t="s">
        <v>8</v>
      </c>
      <c r="I33" s="189" t="s">
        <v>2</v>
      </c>
      <c r="K33" s="215">
        <v>1</v>
      </c>
      <c r="L33" t="str">
        <f t="shared" ca="1" si="3"/>
        <v>v</v>
      </c>
      <c r="M33" t="str">
        <f>REPT(" ",3-K33)&amp;IF(K33=0," ","")</f>
        <v xml:space="preserve">  </v>
      </c>
      <c r="O33" s="194"/>
      <c r="P33" s="256" t="str">
        <f>IF(ISNUMBER(D33),LOOKUP(D33,$AB$5:$AC$7),D33)</f>
        <v>硬質ビニル電線管　</v>
      </c>
      <c r="Q33" s="208" t="str">
        <f t="shared" si="6"/>
        <v>HIVE (16)</v>
      </c>
      <c r="R33" s="301" t="str">
        <f t="shared" ca="1" si="4"/>
        <v xml:space="preserve">0.9  </v>
      </c>
      <c r="S33" s="305" t="str">
        <f>H33</f>
        <v>ｍ</v>
      </c>
      <c r="T33" s="145">
        <v>87</v>
      </c>
      <c r="U33" s="216">
        <f ca="1">IF(L33="l","",IF(D33+F33&gt;0,SUM(Z33:AA33),-1))</f>
        <v>78</v>
      </c>
      <c r="V33" s="386">
        <v>2</v>
      </c>
      <c r="W33" s="142" t="str">
        <f>I33</f>
        <v>屋外露出</v>
      </c>
      <c r="Y33" s="114"/>
      <c r="Z33" s="114">
        <f>IF(D33&gt;0,0,TRUNC(F33*T33+Y33*X33))</f>
        <v>78</v>
      </c>
      <c r="AA33" t="b">
        <f>IF($D33=1,SUM(Z$13:Z31)-SUM(AA$13:AA31),IF($D33=2,$AA$6,IF($D33=3,TRUNC($AA$6,-3))))</f>
        <v>0</v>
      </c>
      <c r="AB33">
        <f ca="1">IF(OR(AC$8=0,L32="l",D33&gt;0,U33=-1),0,IF(L32="b",-U33,TRUNC(F32*T33)))</f>
        <v>0</v>
      </c>
      <c r="AC33" t="b">
        <f>IF($D33=1,SUM(AB$13:AB31)-SUM(AC$13:AC31),IF($D33=2,$AA$5,IF($D33=3,TRUNC($AA$5,-3))))</f>
        <v>0</v>
      </c>
    </row>
    <row r="34" spans="3:29" ht="15" customHeight="1" x14ac:dyDescent="0.15">
      <c r="C34" s="182"/>
      <c r="D34" s="214" t="s">
        <v>685</v>
      </c>
      <c r="E34" s="184"/>
      <c r="F34" s="227"/>
      <c r="G34" s="297" t="str">
        <f ca="1">IF(OR(AC$8=0,L34="b"),"",IF(L34="l",0,"("&amp;FIXED(-F34,K35,0)&amp;M34))</f>
        <v/>
      </c>
      <c r="H34" s="183"/>
      <c r="I34" s="185"/>
      <c r="L34" t="str">
        <f t="shared" ca="1" si="3"/>
        <v>b</v>
      </c>
      <c r="M34" t="str">
        <f>")"&amp;REPT(" ",2-K35)&amp;IF(K35=0," ","")</f>
        <v xml:space="preserve">) </v>
      </c>
      <c r="O34" s="194" t="s">
        <v>85</v>
      </c>
      <c r="P34" s="317" t="str">
        <f>D34</f>
        <v>　ポリエチレン</v>
      </c>
      <c r="Q34" s="207">
        <f t="shared" si="6"/>
        <v>0</v>
      </c>
      <c r="R34" s="300" t="str">
        <f t="shared" ca="1" si="4"/>
        <v/>
      </c>
      <c r="S34" s="304"/>
      <c r="T34" s="144"/>
      <c r="U34" s="206">
        <f ca="1">IF(OR(AC$8=0,SUM(Z35:AC35)=0),1,IF(L34="l","",SUM(AB35:AC35)))</f>
        <v>1</v>
      </c>
      <c r="V34" s="385"/>
      <c r="W34" s="197"/>
      <c r="Z34"/>
    </row>
    <row r="35" spans="3:29" ht="15" customHeight="1" x14ac:dyDescent="0.15">
      <c r="C35" s="186"/>
      <c r="D35" s="213" t="s">
        <v>530</v>
      </c>
      <c r="E35" s="188" t="s">
        <v>448</v>
      </c>
      <c r="F35" s="226">
        <v>9.9</v>
      </c>
      <c r="G35" s="296" t="str">
        <f ca="1">IF(L35="b","",IF(L35="l",0,FIXED(F35,K35,0)&amp;M35))</f>
        <v xml:space="preserve">9.9  </v>
      </c>
      <c r="H35" s="187" t="s">
        <v>8</v>
      </c>
      <c r="I35" s="189" t="s">
        <v>3</v>
      </c>
      <c r="K35" s="215">
        <v>1</v>
      </c>
      <c r="L35" t="str">
        <f t="shared" ca="1" si="3"/>
        <v>v</v>
      </c>
      <c r="M35" t="str">
        <f>REPT(" ",3-K35)&amp;IF(K35=0," ","")</f>
        <v xml:space="preserve">  </v>
      </c>
      <c r="O35" s="194"/>
      <c r="P35" s="256" t="str">
        <f>IF(ISNUMBER(D35),LOOKUP(D35,$AB$5:$AC$7),D35)</f>
        <v>ライニング鋼管　</v>
      </c>
      <c r="Q35" s="208" t="str">
        <f t="shared" si="6"/>
        <v>PE   (28)</v>
      </c>
      <c r="R35" s="301" t="str">
        <f t="shared" ca="1" si="4"/>
        <v xml:space="preserve">9.9  </v>
      </c>
      <c r="S35" s="305" t="str">
        <f>H35</f>
        <v>ｍ</v>
      </c>
      <c r="T35" s="145">
        <v>513</v>
      </c>
      <c r="U35" s="216">
        <f ca="1">IF(L35="l","",IF(D35+F35&gt;0,SUM(Z35:AA35),-1))</f>
        <v>5078</v>
      </c>
      <c r="V35" s="386">
        <v>32</v>
      </c>
      <c r="W35" s="142" t="str">
        <f>I35</f>
        <v xml:space="preserve">   〃</v>
      </c>
      <c r="Z35" s="114">
        <f>IF(D35&gt;0,0,TRUNC(F35*T35+Y35*X35))</f>
        <v>5078</v>
      </c>
      <c r="AA35" t="b">
        <f>IF($D35=1,SUM(Z$13:Z33)-SUM(AA$13:AA33),IF($D35=2,$AA$6,IF($D35=3,TRUNC($AA$6,-3))))</f>
        <v>0</v>
      </c>
      <c r="AB35">
        <f ca="1">IF(OR(AC$8=0,L34="l",D35&gt;0,U35=-1),0,IF(L34="b",-U35,TRUNC(F34*T35)))</f>
        <v>0</v>
      </c>
      <c r="AC35" t="b">
        <f>IF($D35=1,SUM(AB$13:AB33)-SUM(AC$13:AC33),IF($D35=2,$AA$5,IF($D35=3,TRUNC($AA$5,-3))))</f>
        <v>0</v>
      </c>
    </row>
    <row r="36" spans="3:29" ht="15" customHeight="1" x14ac:dyDescent="0.15">
      <c r="C36" s="182"/>
      <c r="D36" s="210"/>
      <c r="E36" s="184"/>
      <c r="F36" s="227"/>
      <c r="G36" s="297" t="str">
        <f ca="1">IF(OR(AC$8=0,L36="b"),"",IF(L36="l",0,"("&amp;FIXED(-F36,K37,0)&amp;M36))</f>
        <v/>
      </c>
      <c r="H36" s="183"/>
      <c r="I36" s="185"/>
      <c r="L36" t="str">
        <f t="shared" ca="1" si="3"/>
        <v>b</v>
      </c>
      <c r="M36" t="str">
        <f>")"&amp;REPT(" ",2-K37)&amp;IF(K37=0," ","")</f>
        <v xml:space="preserve">) </v>
      </c>
      <c r="O36" s="194"/>
      <c r="P36" s="207">
        <f>D36</f>
        <v>0</v>
      </c>
      <c r="Q36" s="207">
        <f t="shared" si="6"/>
        <v>0</v>
      </c>
      <c r="R36" s="300" t="str">
        <f t="shared" ca="1" si="4"/>
        <v/>
      </c>
      <c r="S36" s="304"/>
      <c r="T36" s="144"/>
      <c r="U36" s="206">
        <f ca="1">IF(OR(AC$8=0,SUM(Z37:AC37)=0),1,IF(L36="l","",SUM(AB37:AC37)))</f>
        <v>1</v>
      </c>
      <c r="V36" s="385"/>
      <c r="W36" s="197"/>
      <c r="Z36"/>
    </row>
    <row r="37" spans="3:29" ht="15" customHeight="1" x14ac:dyDescent="0.15">
      <c r="C37" s="186"/>
      <c r="D37" s="205" t="s">
        <v>236</v>
      </c>
      <c r="E37" s="188" t="s">
        <v>444</v>
      </c>
      <c r="F37" s="226">
        <v>3.6</v>
      </c>
      <c r="G37" s="296" t="str">
        <f ca="1">IF(L37="b","",IF(L37="l",0,FIXED(F37,K37,0)&amp;M37))</f>
        <v xml:space="preserve">3.6  </v>
      </c>
      <c r="H37" s="187" t="s">
        <v>8</v>
      </c>
      <c r="I37" s="189" t="s">
        <v>3</v>
      </c>
      <c r="K37" s="215">
        <v>1</v>
      </c>
      <c r="L37" t="str">
        <f t="shared" ca="1" si="3"/>
        <v>v</v>
      </c>
      <c r="M37" t="str">
        <f>REPT(" ",3-K37)&amp;IF(K37=0," ","")</f>
        <v xml:space="preserve">  </v>
      </c>
      <c r="O37" s="194"/>
      <c r="P37" s="208" t="str">
        <f>IF(ISNUMBER(D37),LOOKUP(D37,$AB$5:$AC$7),D37)</f>
        <v>〃</v>
      </c>
      <c r="Q37" s="208" t="str">
        <f t="shared" si="6"/>
        <v>PE   (36)</v>
      </c>
      <c r="R37" s="301" t="str">
        <f t="shared" ca="1" si="4"/>
        <v xml:space="preserve">3.6  </v>
      </c>
      <c r="S37" s="305" t="str">
        <f>H37</f>
        <v>ｍ</v>
      </c>
      <c r="T37" s="145">
        <v>658</v>
      </c>
      <c r="U37" s="216">
        <f ca="1">IF(L37="l","",IF(D37+F37&gt;0,SUM(Z37:AA37),-1))</f>
        <v>2368</v>
      </c>
      <c r="V37" s="386">
        <v>33</v>
      </c>
      <c r="W37" s="142" t="str">
        <f>I37</f>
        <v xml:space="preserve">   〃</v>
      </c>
      <c r="Z37" s="114">
        <f>IF(D37&gt;0,0,TRUNC(F37*T37+Y37*X37))</f>
        <v>2368</v>
      </c>
      <c r="AA37" t="b">
        <f>IF($D37=1,SUM(Z$13:Z35)-SUM(AA$13:AA35),IF($D37=2,$AA$6,IF($D37=3,TRUNC($AA$6,-3))))</f>
        <v>0</v>
      </c>
      <c r="AB37">
        <f ca="1">IF(OR(AC$8=0,L36="l",D37&gt;0,U37=-1),0,IF(L36="b",-U37,TRUNC(F36*T37)))</f>
        <v>0</v>
      </c>
      <c r="AC37" t="b">
        <f>IF($D37=1,SUM(AB$13:AB35)-SUM(AC$13:AC35),IF($D37=2,$AA$5,IF($D37=3,TRUNC($AA$5,-3))))</f>
        <v>0</v>
      </c>
    </row>
    <row r="38" spans="3:29" ht="15" customHeight="1" x14ac:dyDescent="0.15">
      <c r="C38" s="182"/>
      <c r="D38" s="210"/>
      <c r="E38" s="184"/>
      <c r="F38" s="227"/>
      <c r="G38" s="297" t="str">
        <f ca="1">IF(OR(AC$8=0,L38="b"),"",IF(L38="l",0,"("&amp;FIXED(-F38,K39,0)&amp;M38))</f>
        <v/>
      </c>
      <c r="H38" s="183"/>
      <c r="I38" s="185"/>
      <c r="L38" t="str">
        <f t="shared" ca="1" si="3"/>
        <v>b</v>
      </c>
      <c r="M38" t="str">
        <f>")"&amp;REPT(" ",2-K39)&amp;IF(K39=0," ","")</f>
        <v xml:space="preserve">) </v>
      </c>
      <c r="O38" s="194"/>
      <c r="P38" s="207">
        <f>D38</f>
        <v>0</v>
      </c>
      <c r="Q38" s="207">
        <f t="shared" si="6"/>
        <v>0</v>
      </c>
      <c r="R38" s="300" t="str">
        <f t="shared" ca="1" si="4"/>
        <v/>
      </c>
      <c r="S38" s="304"/>
      <c r="T38" s="144"/>
      <c r="U38" s="206">
        <f ca="1">IF(OR(AC$8=0,SUM(Z39:AC39)=0),1,IF(L38="l","",SUM(AB39:AC39)))</f>
        <v>1</v>
      </c>
      <c r="V38" s="385"/>
      <c r="W38" s="197"/>
      <c r="Z38"/>
    </row>
    <row r="39" spans="3:29" ht="15" customHeight="1" x14ac:dyDescent="0.15">
      <c r="C39" s="186"/>
      <c r="D39" s="205" t="s">
        <v>236</v>
      </c>
      <c r="E39" s="188" t="s">
        <v>673</v>
      </c>
      <c r="F39" s="226">
        <v>3.5</v>
      </c>
      <c r="G39" s="296" t="str">
        <f ca="1">IF(L39="b","",IF(L39="l",0,FIXED(F39,K39,0)&amp;M39))</f>
        <v xml:space="preserve">3.5  </v>
      </c>
      <c r="H39" s="187" t="s">
        <v>8</v>
      </c>
      <c r="I39" s="189" t="s">
        <v>3</v>
      </c>
      <c r="K39" s="215">
        <v>1</v>
      </c>
      <c r="L39" t="str">
        <f t="shared" ca="1" si="3"/>
        <v>v</v>
      </c>
      <c r="M39" t="str">
        <f>REPT(" ",3-K39)&amp;IF(K39=0," ","")</f>
        <v xml:space="preserve">  </v>
      </c>
      <c r="O39" s="194"/>
      <c r="P39" s="208" t="str">
        <f>IF(ISNUMBER(D39),LOOKUP(D39,$AB$5:$AC$7),D39)</f>
        <v>〃</v>
      </c>
      <c r="Q39" s="208" t="str">
        <f t="shared" si="6"/>
        <v>PE   (92)</v>
      </c>
      <c r="R39" s="301" t="str">
        <f t="shared" ca="1" si="4"/>
        <v xml:space="preserve">3.5  </v>
      </c>
      <c r="S39" s="305" t="str">
        <f>H39</f>
        <v>ｍ</v>
      </c>
      <c r="T39" s="145">
        <v>2325</v>
      </c>
      <c r="U39" s="216">
        <f ca="1">IF(L39="l","",IF(D39+F39&gt;0,SUM(Z39:AA39),-1))</f>
        <v>8137</v>
      </c>
      <c r="V39" s="386">
        <v>38</v>
      </c>
      <c r="W39" s="142" t="str">
        <f>I39</f>
        <v xml:space="preserve">   〃</v>
      </c>
      <c r="Z39" s="114">
        <f>IF(D39&gt;0,0,TRUNC(F39*T39+Y39*X39))</f>
        <v>8137</v>
      </c>
      <c r="AA39" t="b">
        <f>IF($D39=1,SUM(Z$13:Z37)-SUM(AA$13:AA37),IF($D39=2,$AA$6,IF($D39=3,TRUNC($AA$6,-3))))</f>
        <v>0</v>
      </c>
      <c r="AB39">
        <f ca="1">IF(OR(AC$8=0,L38="l",D39&gt;0,U39=-1),0,IF(L38="b",-U39,TRUNC(F38*T39)))</f>
        <v>0</v>
      </c>
      <c r="AC39" t="b">
        <f>IF($D39=1,SUM(AB$13:AB37)-SUM(AC$13:AC37),IF($D39=2,$AA$5,IF($D39=3,TRUNC($AA$5,-3))))</f>
        <v>0</v>
      </c>
    </row>
    <row r="40" spans="3:29" ht="15" customHeight="1" x14ac:dyDescent="0.15">
      <c r="C40" s="182"/>
      <c r="D40" s="210"/>
      <c r="E40" s="184"/>
      <c r="F40" s="227"/>
      <c r="G40" s="297" t="str">
        <f ca="1">IF(OR(AC$8=0,L40="b"),"",IF(L40="l",0,"("&amp;FIXED(-F40,K41,0)&amp;M40))</f>
        <v/>
      </c>
      <c r="H40" s="183"/>
      <c r="I40" s="185"/>
      <c r="L40" t="str">
        <f t="shared" ref="L40:L51" ca="1" si="7">CELL("type",F40)</f>
        <v>b</v>
      </c>
      <c r="M40" t="str">
        <f>")"&amp;REPT(" ",2-K41)&amp;IF(K41=0," ","")</f>
        <v xml:space="preserve">) </v>
      </c>
      <c r="O40" s="194" t="s">
        <v>86</v>
      </c>
      <c r="P40" s="207">
        <f>D40</f>
        <v>0</v>
      </c>
      <c r="Q40" s="207">
        <f t="shared" si="6"/>
        <v>0</v>
      </c>
      <c r="R40" s="300" t="str">
        <f t="shared" ref="R40:R51" ca="1" si="8">G40</f>
        <v/>
      </c>
      <c r="S40" s="304"/>
      <c r="T40" s="144"/>
      <c r="U40" s="206">
        <f ca="1">IF(OR(AC$8=0,SUM(Z41:AC41)=0),1,IF(L40="l","",SUM(AB41:AC41)))</f>
        <v>1</v>
      </c>
      <c r="V40" s="385"/>
      <c r="W40" s="197"/>
      <c r="Z40"/>
    </row>
    <row r="41" spans="3:29" ht="15" customHeight="1" x14ac:dyDescent="0.15">
      <c r="C41" s="186"/>
      <c r="D41" s="205" t="s">
        <v>676</v>
      </c>
      <c r="E41" s="188" t="s">
        <v>677</v>
      </c>
      <c r="F41" s="226">
        <v>1.6</v>
      </c>
      <c r="G41" s="296" t="str">
        <f ca="1">IF(L41="b","",IF(L41="l",0,FIXED(F41,K41,0)&amp;M41))</f>
        <v xml:space="preserve">1.6  </v>
      </c>
      <c r="H41" s="187" t="s">
        <v>8</v>
      </c>
      <c r="I41" s="189" t="s">
        <v>3</v>
      </c>
      <c r="K41" s="215">
        <v>1</v>
      </c>
      <c r="L41" t="str">
        <f t="shared" ca="1" si="7"/>
        <v>v</v>
      </c>
      <c r="M41" t="str">
        <f>REPT(" ",3-K41)&amp;IF(K41=0," ","")</f>
        <v xml:space="preserve">  </v>
      </c>
      <c r="O41" s="194"/>
      <c r="P41" s="208" t="str">
        <f>IF(ISNUMBER(D41),LOOKUP(D41,$AB$5:$AC$7),D41)</f>
        <v>金属製可とう電線管</v>
      </c>
      <c r="Q41" s="208" t="str">
        <f t="shared" si="6"/>
        <v>防水ﾌﾟﾘｶﾁｭｰﾌﾞ # 38 被覆</v>
      </c>
      <c r="R41" s="301" t="str">
        <f t="shared" ca="1" si="8"/>
        <v xml:space="preserve">1.6  </v>
      </c>
      <c r="S41" s="305" t="str">
        <f>H41</f>
        <v>ｍ</v>
      </c>
      <c r="T41" s="145">
        <v>853</v>
      </c>
      <c r="U41" s="216">
        <f ca="1">IF(L41="l","",IF(D41+F41&gt;0,SUM(Z41:AA41),-1))</f>
        <v>1364</v>
      </c>
      <c r="V41" s="386">
        <v>52</v>
      </c>
      <c r="W41" s="142" t="str">
        <f>I41</f>
        <v xml:space="preserve">   〃</v>
      </c>
      <c r="Z41" s="114">
        <f>IF(D41&gt;0,0,TRUNC(F41*T41+Y41*X41))</f>
        <v>1364</v>
      </c>
      <c r="AA41" t="b">
        <f>IF($D41=1,SUM(Z$13:Z39)-SUM(AA$13:AA39),IF($D41=2,$AA$6,IF($D41=3,TRUNC($AA$6,-3))))</f>
        <v>0</v>
      </c>
      <c r="AB41">
        <f ca="1">IF(OR(AC$8=0,L40="l",D41&gt;0,U41=-1),0,IF(L40="b",-U41,TRUNC(F40*T41)))</f>
        <v>0</v>
      </c>
      <c r="AC41" t="b">
        <f>IF($D41=1,SUM(AB$13:AB39)-SUM(AC$13:AC39),IF($D41=2,$AA$5,IF($D41=3,TRUNC($AA$5,-3))))</f>
        <v>0</v>
      </c>
    </row>
    <row r="42" spans="3:29" ht="15" customHeight="1" x14ac:dyDescent="0.15">
      <c r="C42" s="182"/>
      <c r="D42" s="210"/>
      <c r="E42" s="184"/>
      <c r="F42" s="227"/>
      <c r="G42" s="297" t="str">
        <f ca="1">IF(OR(AC$8=0,L42="b"),"",IF(L42="l",0,"("&amp;FIXED(-F42,K43,0)&amp;M42))</f>
        <v/>
      </c>
      <c r="H42" s="183"/>
      <c r="I42" s="185"/>
      <c r="L42" t="str">
        <f t="shared" ca="1" si="7"/>
        <v>b</v>
      </c>
      <c r="M42" t="str">
        <f>")"&amp;REPT(" ",2-K43)&amp;IF(K43=0," ","")</f>
        <v xml:space="preserve">) </v>
      </c>
      <c r="O42" s="194"/>
      <c r="P42" s="207">
        <f>D42</f>
        <v>0</v>
      </c>
      <c r="Q42" s="207">
        <f t="shared" si="6"/>
        <v>0</v>
      </c>
      <c r="R42" s="300" t="str">
        <f t="shared" ca="1" si="8"/>
        <v/>
      </c>
      <c r="S42" s="304"/>
      <c r="T42" s="144"/>
      <c r="U42" s="206">
        <f ca="1">IF(OR(AC$8=0,SUM(Z43:AC43)=0),1,IF(L42="l","",SUM(AB43:AC43)))</f>
        <v>1</v>
      </c>
      <c r="V42" s="385"/>
      <c r="W42" s="197"/>
      <c r="Z42"/>
    </row>
    <row r="43" spans="3:29" ht="15" customHeight="1" x14ac:dyDescent="0.15">
      <c r="C43" s="186"/>
      <c r="D43" s="205" t="s">
        <v>236</v>
      </c>
      <c r="E43" s="188" t="s">
        <v>678</v>
      </c>
      <c r="F43" s="226">
        <v>1.6</v>
      </c>
      <c r="G43" s="296" t="str">
        <f ca="1">IF(L43="b","",IF(L43="l",0,FIXED(F43,K43,0)&amp;M43))</f>
        <v xml:space="preserve">1.6  </v>
      </c>
      <c r="H43" s="187" t="s">
        <v>8</v>
      </c>
      <c r="I43" s="189" t="s">
        <v>3</v>
      </c>
      <c r="K43" s="215">
        <v>1</v>
      </c>
      <c r="L43" t="str">
        <f t="shared" ca="1" si="7"/>
        <v>v</v>
      </c>
      <c r="M43" t="str">
        <f>REPT(" ",3-K43)&amp;IF(K43=0," ","")</f>
        <v xml:space="preserve">  </v>
      </c>
      <c r="O43" s="194"/>
      <c r="P43" s="208" t="str">
        <f>IF(ISNUMBER(D43),LOOKUP(D43,$AB$5:$AC$7),D43)</f>
        <v>〃</v>
      </c>
      <c r="Q43" s="208" t="str">
        <f t="shared" si="6"/>
        <v>防水ﾌﾟﾘｶﾁｭｰﾌﾞ #101 被覆</v>
      </c>
      <c r="R43" s="301" t="str">
        <f t="shared" ca="1" si="8"/>
        <v xml:space="preserve">1.6  </v>
      </c>
      <c r="S43" s="305" t="str">
        <f>H43</f>
        <v>ｍ</v>
      </c>
      <c r="T43" s="145">
        <v>5400</v>
      </c>
      <c r="U43" s="216">
        <f ca="1">IF(L43="l","",IF(D43+F43&gt;0,SUM(Z43:AA43),-1))</f>
        <v>8640</v>
      </c>
      <c r="V43" s="386">
        <v>53</v>
      </c>
      <c r="W43" s="142" t="str">
        <f>I43</f>
        <v xml:space="preserve">   〃</v>
      </c>
      <c r="Z43" s="114">
        <f>IF(D43&gt;0,0,TRUNC(F43*T43+Y43*X43))</f>
        <v>8640</v>
      </c>
      <c r="AA43" t="b">
        <f>IF($D43=1,SUM(Z$13:Z41)-SUM(AA$13:AA41),IF($D43=2,$AA$6,IF($D43=3,TRUNC($AA$6,-3))))</f>
        <v>0</v>
      </c>
      <c r="AB43">
        <f ca="1">IF(OR(AC$8=0,L42="l",D43&gt;0,U43=-1),0,IF(L42="b",-U43,TRUNC(F42*T43)))</f>
        <v>0</v>
      </c>
      <c r="AC43" t="b">
        <f>IF($D43=1,SUM(AB$13:AB41)-SUM(AC$13:AC41),IF($D43=2,$AA$5,IF($D43=3,TRUNC($AA$5,-3))))</f>
        <v>0</v>
      </c>
    </row>
    <row r="44" spans="3:29" ht="15" customHeight="1" x14ac:dyDescent="0.15">
      <c r="C44" s="182"/>
      <c r="D44" s="210"/>
      <c r="E44" s="184"/>
      <c r="F44" s="227"/>
      <c r="G44" s="297" t="str">
        <f ca="1">IF(OR(AC$8=0,L44="b"),"",IF(L44="l",0,"("&amp;FIXED(-F44,K45,0)&amp;M44))</f>
        <v/>
      </c>
      <c r="H44" s="183"/>
      <c r="I44" s="185"/>
      <c r="L44" t="str">
        <f t="shared" ca="1" si="7"/>
        <v>b</v>
      </c>
      <c r="M44" t="str">
        <f>")"&amp;REPT(" ",2-K45)&amp;IF(K45=0," ","")</f>
        <v xml:space="preserve">)   </v>
      </c>
      <c r="O44" s="194"/>
      <c r="P44" s="207">
        <f>D44</f>
        <v>0</v>
      </c>
      <c r="Q44" s="207">
        <f t="shared" si="6"/>
        <v>0</v>
      </c>
      <c r="R44" s="300" t="str">
        <f t="shared" ca="1" si="8"/>
        <v/>
      </c>
      <c r="S44" s="304"/>
      <c r="T44" s="144"/>
      <c r="U44" s="206">
        <f ca="1">IF(OR(AC$8=0,SUM(Z45:AC45)=0),1,IF(L44="l","",SUM(AB45:AC45)))</f>
        <v>1</v>
      </c>
      <c r="V44" s="385"/>
      <c r="W44" s="197" t="str">
        <f ca="1">IF(OR(AC$8=0,SUM(Z45:AC45)=0),"",CONCATENATE("(",FIXED(-#REF!,0),")"))</f>
        <v/>
      </c>
      <c r="Y44">
        <f ca="1">SUM(AB33:AB43)</f>
        <v>0</v>
      </c>
      <c r="Z44"/>
    </row>
    <row r="45" spans="3:29" ht="15" customHeight="1" x14ac:dyDescent="0.15">
      <c r="C45" s="186"/>
      <c r="D45" s="205" t="s">
        <v>233</v>
      </c>
      <c r="E45" s="188" t="s">
        <v>528</v>
      </c>
      <c r="F45" s="226">
        <v>1</v>
      </c>
      <c r="G45" s="296" t="str">
        <f ca="1">IF(L45="b","",IF(L45="l",0,FIXED(F45,K45,0)&amp;M45))</f>
        <v xml:space="preserve">1    </v>
      </c>
      <c r="H45" s="187" t="s">
        <v>99</v>
      </c>
      <c r="I45" s="189"/>
      <c r="K45" s="215"/>
      <c r="L45" t="str">
        <f t="shared" ca="1" si="7"/>
        <v>v</v>
      </c>
      <c r="M45" t="str">
        <f>REPT(" ",3-K45)&amp;IF(K45=0," ","")</f>
        <v xml:space="preserve">    </v>
      </c>
      <c r="O45" s="194"/>
      <c r="P45" s="208" t="str">
        <f>IF(ISNUMBER(D45),LOOKUP(D45,$AB$5:$AC$7),D45)</f>
        <v>付  属  材  料</v>
      </c>
      <c r="Q45" s="208" t="str">
        <f t="shared" si="6"/>
        <v>上記材料費の105％</v>
      </c>
      <c r="R45" s="301" t="str">
        <f t="shared" ca="1" si="8"/>
        <v xml:space="preserve">1    </v>
      </c>
      <c r="S45" s="305" t="str">
        <f>H45</f>
        <v>式</v>
      </c>
      <c r="T45" s="145"/>
      <c r="U45" s="216">
        <f ca="1">IF(L45="l","",IF(D45+F45&gt;0,SUM(Z45:AA45),-1))</f>
        <v>26948</v>
      </c>
      <c r="V45" s="386"/>
      <c r="W45" s="142" t="str">
        <f>TEXT(Y45," #,0×")&amp;TEXT(X45,"0.00＝")</f>
        <v xml:space="preserve"> 25,665×1.05＝</v>
      </c>
      <c r="X45">
        <f>VALUE(RIGHT(E45,4))</f>
        <v>1.05</v>
      </c>
      <c r="Y45" s="114">
        <f>SUM(Z33:Z43)</f>
        <v>25665</v>
      </c>
      <c r="Z45" s="114">
        <f>IF(D45&gt;0,0,TRUNC(F45*T45+Y45*X45))</f>
        <v>26948</v>
      </c>
      <c r="AA45" t="b">
        <f>IF($D45=1,SUM(Z$13:Z37)-SUM(AA$13:AA37),IF($D45=2,$AA$6,IF($D45=3,TRUNC($AA$6,-3))))</f>
        <v>0</v>
      </c>
      <c r="AB45">
        <f ca="1">IF(OR(AC$8=0,L44="l",D45&gt;0,U45=-1),0,IF(L44="b",-U45,TRUNC(F44*T45)))</f>
        <v>0</v>
      </c>
      <c r="AC45" t="b">
        <f>IF($D45=1,SUM(AB$13:AB37)-SUM(AC$13:AC37),IF($D45=2,$AA$5,IF($D45=3,TRUNC($AA$5,-3))))</f>
        <v>0</v>
      </c>
    </row>
    <row r="46" spans="3:29" ht="15" customHeight="1" x14ac:dyDescent="0.15">
      <c r="C46" s="182"/>
      <c r="D46" s="212"/>
      <c r="E46" s="184"/>
      <c r="F46" s="227"/>
      <c r="G46" s="297" t="str">
        <f ca="1">IF(OR(AC$8=0,L46="b"),"",IF(L46="l",0,"("&amp;FIXED(-F46,K47,0)&amp;M46))</f>
        <v/>
      </c>
      <c r="H46" s="183"/>
      <c r="I46" s="185"/>
      <c r="L46" t="str">
        <f t="shared" ca="1" si="7"/>
        <v>b</v>
      </c>
      <c r="M46" t="str">
        <f>")"&amp;REPT(" ",2-K47)&amp;IF(K47=0," ","")</f>
        <v xml:space="preserve">)   </v>
      </c>
      <c r="O46" s="194" t="s">
        <v>38</v>
      </c>
      <c r="P46" s="317">
        <f>D46</f>
        <v>0</v>
      </c>
      <c r="Q46" s="207">
        <f t="shared" si="6"/>
        <v>0</v>
      </c>
      <c r="R46" s="300" t="str">
        <f t="shared" ca="1" si="8"/>
        <v/>
      </c>
      <c r="S46" s="304"/>
      <c r="T46" s="144"/>
      <c r="U46" s="206">
        <f ca="1">IF(OR(AC$8=0,SUM(Z47:AC47)=0),1,IF(L46="l","",SUM(AB47:AC47)))</f>
        <v>1</v>
      </c>
      <c r="V46" s="385"/>
      <c r="W46" s="197"/>
      <c r="Z46"/>
    </row>
    <row r="47" spans="3:29" ht="15" customHeight="1" x14ac:dyDescent="0.15">
      <c r="C47" s="186"/>
      <c r="D47" s="213"/>
      <c r="E47" s="188"/>
      <c r="F47" s="226"/>
      <c r="G47" s="296" t="str">
        <f ca="1">IF(L47="b","",IF(L47="l",0,FIXED(F47,K47,0)&amp;M47))</f>
        <v/>
      </c>
      <c r="H47" s="187"/>
      <c r="I47" s="189"/>
      <c r="K47" s="215"/>
      <c r="L47" t="str">
        <f t="shared" ca="1" si="7"/>
        <v>b</v>
      </c>
      <c r="M47" t="str">
        <f>REPT(" ",3-K47)&amp;IF(K47=0," ","")</f>
        <v xml:space="preserve">    </v>
      </c>
      <c r="O47" s="194"/>
      <c r="P47" s="256">
        <f>IF(ISNUMBER(D47),LOOKUP(D47,$AB$5:$AC$7),D47)</f>
        <v>0</v>
      </c>
      <c r="Q47" s="208">
        <f t="shared" si="6"/>
        <v>0</v>
      </c>
      <c r="R47" s="301" t="str">
        <f t="shared" ca="1" si="8"/>
        <v/>
      </c>
      <c r="S47" s="305">
        <f>H47</f>
        <v>0</v>
      </c>
      <c r="T47" s="145"/>
      <c r="U47" s="216">
        <f ca="1">IF(L47="l","",IF(D47+F47&gt;0,SUM(Z47:AA47),-1))</f>
        <v>-1</v>
      </c>
      <c r="V47" s="386"/>
      <c r="W47" s="142"/>
      <c r="Y47" s="114"/>
      <c r="Z47" s="114">
        <f>IF(D47&gt;0,0,TRUNC(F47*T47+Y47*X47))</f>
        <v>0</v>
      </c>
      <c r="AA47" t="b">
        <f>IF($D47=1,SUM(Z$13:Z45)-SUM(AA$13:AA45),IF($D47=2,$AA$6,IF($D47=3,TRUNC($AA$6,-3))))</f>
        <v>0</v>
      </c>
      <c r="AB47">
        <f ca="1">IF(OR(AC$8=0,L46="l",D47&gt;0,U47=-1),0,IF(L46="b",-U47,TRUNC(F46*T47)))</f>
        <v>0</v>
      </c>
      <c r="AC47" t="b">
        <f>IF($D47=1,SUM(AB$13:AB45)-SUM(AC$13:AC45),IF($D47=2,$AA$5,IF($D47=3,TRUNC($AA$5,-3))))</f>
        <v>0</v>
      </c>
    </row>
    <row r="48" spans="3:29" ht="15" customHeight="1" x14ac:dyDescent="0.15">
      <c r="C48" s="182"/>
      <c r="D48" s="212" t="s">
        <v>352</v>
      </c>
      <c r="E48" s="184"/>
      <c r="F48" s="227"/>
      <c r="G48" s="297" t="str">
        <f ca="1">IF(OR(AC$8=0,L48="b"),"",IF(L48="l",0,"("&amp;FIXED(-F48,K49,0)&amp;M48))</f>
        <v/>
      </c>
      <c r="H48" s="183"/>
      <c r="I48" s="185"/>
      <c r="L48" t="str">
        <f t="shared" ca="1" si="7"/>
        <v>b</v>
      </c>
      <c r="M48" t="str">
        <f>")"&amp;REPT(" ",2-K49)&amp;IF(K49=0," ","")</f>
        <v xml:space="preserve">) </v>
      </c>
      <c r="O48" s="194"/>
      <c r="P48" s="317" t="str">
        <f>D48</f>
        <v>　耐衝撃性</v>
      </c>
      <c r="Q48" s="207">
        <f t="shared" ref="Q48:Q55" si="9">E48</f>
        <v>0</v>
      </c>
      <c r="R48" s="300" t="str">
        <f t="shared" ca="1" si="8"/>
        <v/>
      </c>
      <c r="S48" s="304"/>
      <c r="T48" s="144"/>
      <c r="U48" s="206">
        <f ca="1">IF(OR(AC$8=0,SUM(Z49:AC49)=0),1,IF(L48="l","",SUM(AB49:AC49)))</f>
        <v>1</v>
      </c>
      <c r="V48" s="385"/>
      <c r="W48" s="197"/>
      <c r="Z48"/>
    </row>
    <row r="49" spans="3:29" ht="15" customHeight="1" x14ac:dyDescent="0.15">
      <c r="C49" s="186"/>
      <c r="D49" s="213" t="s">
        <v>353</v>
      </c>
      <c r="E49" s="188" t="s">
        <v>674</v>
      </c>
      <c r="F49" s="226">
        <v>1.5</v>
      </c>
      <c r="G49" s="296" t="str">
        <f ca="1">IF(L49="b","",IF(L49="l",0,FIXED(F49,K49,0)&amp;M49))</f>
        <v xml:space="preserve">1.5  </v>
      </c>
      <c r="H49" s="187" t="s">
        <v>8</v>
      </c>
      <c r="I49" s="189" t="s">
        <v>53</v>
      </c>
      <c r="K49" s="215">
        <v>1</v>
      </c>
      <c r="L49" t="str">
        <f t="shared" ca="1" si="7"/>
        <v>v</v>
      </c>
      <c r="M49" t="str">
        <f>REPT(" ",3-K49)&amp;IF(K49=0," ","")</f>
        <v xml:space="preserve">  </v>
      </c>
      <c r="O49" s="194"/>
      <c r="P49" s="256" t="str">
        <f>IF(ISNUMBER(D49),LOOKUP(D49,$AB$5:$AC$7),D49)</f>
        <v>硬質ビニル電線管　</v>
      </c>
      <c r="Q49" s="208" t="str">
        <f t="shared" si="9"/>
        <v>HIVE (16)</v>
      </c>
      <c r="R49" s="301" t="str">
        <f t="shared" ca="1" si="8"/>
        <v xml:space="preserve">1.5  </v>
      </c>
      <c r="S49" s="305" t="str">
        <f>H49</f>
        <v>ｍ</v>
      </c>
      <c r="T49" s="145">
        <v>87</v>
      </c>
      <c r="U49" s="216">
        <f ca="1">IF(L49="l","",IF(D49+F49&gt;0,SUM(Z49:AA49),-1))</f>
        <v>130</v>
      </c>
      <c r="V49" s="386">
        <v>2</v>
      </c>
      <c r="W49" s="142" t="str">
        <f>I49</f>
        <v>屋内露出</v>
      </c>
      <c r="Y49" s="114"/>
      <c r="Z49" s="114">
        <f>IF(D49&gt;0,0,TRUNC(F49*T49+Y49*X49))</f>
        <v>130</v>
      </c>
      <c r="AA49" t="b">
        <f>IF($D49=1,SUM(Z$13:Z47)-SUM(AA$13:AA47),IF($D49=2,$AA$6,IF($D49=3,TRUNC($AA$6,-3))))</f>
        <v>0</v>
      </c>
      <c r="AB49">
        <f ca="1">IF(OR(AC$8=0,L48="l",D49&gt;0,U49=-1),0,IF(L48="b",-U49,TRUNC(F48*T49)))</f>
        <v>0</v>
      </c>
      <c r="AC49" t="b">
        <f>IF($D49=1,SUM(AB$13:AB47)-SUM(AC$13:AC47),IF($D49=2,$AA$5,IF($D49=3,TRUNC($AA$5,-3))))</f>
        <v>0</v>
      </c>
    </row>
    <row r="50" spans="3:29" ht="15" customHeight="1" x14ac:dyDescent="0.15">
      <c r="C50" s="182"/>
      <c r="D50" s="210"/>
      <c r="E50" s="184"/>
      <c r="F50" s="227"/>
      <c r="G50" s="297" t="str">
        <f ca="1">IF(OR(AC$8=0,L50="b"),"",IF(L50="l",0,"("&amp;FIXED(-F50,K51,0)&amp;M50))</f>
        <v/>
      </c>
      <c r="H50" s="183"/>
      <c r="I50" s="185"/>
      <c r="L50" t="str">
        <f t="shared" ca="1" si="7"/>
        <v>b</v>
      </c>
      <c r="M50" t="str">
        <f>")"&amp;REPT(" ",2-K51)&amp;IF(K51=0," ","")</f>
        <v xml:space="preserve">) </v>
      </c>
      <c r="O50" s="194"/>
      <c r="P50" s="207">
        <f>D50</f>
        <v>0</v>
      </c>
      <c r="Q50" s="207">
        <f t="shared" si="9"/>
        <v>0</v>
      </c>
      <c r="R50" s="300" t="str">
        <f t="shared" ca="1" si="8"/>
        <v/>
      </c>
      <c r="S50" s="304"/>
      <c r="T50" s="144"/>
      <c r="U50" s="206">
        <f ca="1">IF(OR(AC$8=0,SUM(Z51:AC51)=0),1,IF(L50="l","",SUM(AB51:AC51)))</f>
        <v>1</v>
      </c>
      <c r="V50" s="385"/>
      <c r="W50" s="197"/>
      <c r="Z50"/>
    </row>
    <row r="51" spans="3:29" ht="15" customHeight="1" x14ac:dyDescent="0.15">
      <c r="C51" s="186"/>
      <c r="D51" s="205" t="s">
        <v>236</v>
      </c>
      <c r="E51" s="188" t="s">
        <v>373</v>
      </c>
      <c r="F51" s="226">
        <v>1.5</v>
      </c>
      <c r="G51" s="296" t="str">
        <f ca="1">IF(L51="b","",IF(L51="l",0,FIXED(F51,K51,0)&amp;M51))</f>
        <v xml:space="preserve">1.5  </v>
      </c>
      <c r="H51" s="187" t="s">
        <v>8</v>
      </c>
      <c r="I51" s="189" t="s">
        <v>3</v>
      </c>
      <c r="K51" s="215">
        <v>1</v>
      </c>
      <c r="L51" t="str">
        <f t="shared" ca="1" si="7"/>
        <v>v</v>
      </c>
      <c r="M51" t="str">
        <f>REPT(" ",3-K51)&amp;IF(K51=0," ","")</f>
        <v xml:space="preserve">  </v>
      </c>
      <c r="O51" s="194"/>
      <c r="P51" s="208" t="str">
        <f>IF(ISNUMBER(D51),LOOKUP(D51,$AB$5:$AC$7),D51)</f>
        <v>〃</v>
      </c>
      <c r="Q51" s="208" t="str">
        <f t="shared" si="9"/>
        <v>HIVE (28)</v>
      </c>
      <c r="R51" s="301" t="str">
        <f t="shared" ca="1" si="8"/>
        <v xml:space="preserve">1.5  </v>
      </c>
      <c r="S51" s="305" t="str">
        <f>H51</f>
        <v>ｍ</v>
      </c>
      <c r="T51" s="145">
        <v>200</v>
      </c>
      <c r="U51" s="216">
        <f ca="1">IF(L51="l","",IF(D51+F51&gt;0,SUM(Z51:AA51),-1))</f>
        <v>300</v>
      </c>
      <c r="V51" s="386">
        <v>4</v>
      </c>
      <c r="W51" s="142" t="str">
        <f>I51</f>
        <v xml:space="preserve">   〃</v>
      </c>
      <c r="Y51" s="114"/>
      <c r="Z51" s="114">
        <f>IF(D51&gt;0,0,TRUNC(F51*T51+Y51*X51))</f>
        <v>300</v>
      </c>
      <c r="AA51" t="b">
        <f>IF($D51=1,SUM(Z$13:Z43)-SUM(AA$13:AA43),IF($D51=2,$AA$6,IF($D51=3,TRUNC($AA$6,-3))))</f>
        <v>0</v>
      </c>
      <c r="AB51">
        <f ca="1">IF(OR(AC$8=0,L50="l",D51&gt;0,U51=-1),0,IF(L50="b",-U51,TRUNC(F50*T51)))</f>
        <v>0</v>
      </c>
      <c r="AC51" t="b">
        <f>IF($D51=1,SUM(AB$13:AB43)-SUM(AC$13:AC43),IF($D51=2,$AA$5,IF($D51=3,TRUNC($AA$5,-3))))</f>
        <v>0</v>
      </c>
    </row>
    <row r="52" spans="3:29" ht="15" customHeight="1" x14ac:dyDescent="0.15">
      <c r="C52" s="182"/>
      <c r="D52" s="210"/>
      <c r="E52" s="184"/>
      <c r="F52" s="227"/>
      <c r="G52" s="297" t="str">
        <f ca="1">IF(OR(AC$8=0,L52="b"),"",IF(L52="l",0,"("&amp;FIXED(-F52,K53,0)&amp;M52))</f>
        <v/>
      </c>
      <c r="H52" s="183"/>
      <c r="I52" s="185"/>
      <c r="L52" t="str">
        <f t="shared" ref="L52:L59" ca="1" si="10">CELL("type",F52)</f>
        <v>b</v>
      </c>
      <c r="M52" t="str">
        <f>")"&amp;REPT(" ",2-K53)&amp;IF(K53=0," ","")</f>
        <v xml:space="preserve">) </v>
      </c>
      <c r="O52" s="194"/>
      <c r="P52" s="207">
        <f>D52</f>
        <v>0</v>
      </c>
      <c r="Q52" s="207">
        <f t="shared" si="9"/>
        <v>0</v>
      </c>
      <c r="R52" s="300" t="str">
        <f t="shared" ref="R52:R59" ca="1" si="11">G52</f>
        <v/>
      </c>
      <c r="S52" s="304"/>
      <c r="T52" s="144"/>
      <c r="U52" s="206">
        <f ca="1">IF(OR(AC$8=0,SUM(Z53:AC53)=0),1,IF(L52="l","",SUM(AB53:AC53)))</f>
        <v>1</v>
      </c>
      <c r="V52" s="385"/>
      <c r="W52" s="197"/>
      <c r="Z52"/>
    </row>
    <row r="53" spans="3:29" ht="15" customHeight="1" x14ac:dyDescent="0.15">
      <c r="C53" s="186"/>
      <c r="D53" s="205" t="s">
        <v>236</v>
      </c>
      <c r="E53" s="188" t="s">
        <v>374</v>
      </c>
      <c r="F53" s="226">
        <v>11.1</v>
      </c>
      <c r="G53" s="296" t="str">
        <f ca="1">IF(L53="b","",IF(L53="l",0,FIXED(F53,K53,0)&amp;M53))</f>
        <v xml:space="preserve">11.1  </v>
      </c>
      <c r="H53" s="187" t="s">
        <v>8</v>
      </c>
      <c r="I53" s="189" t="s">
        <v>3</v>
      </c>
      <c r="K53" s="215">
        <v>1</v>
      </c>
      <c r="L53" t="str">
        <f t="shared" ca="1" si="10"/>
        <v>v</v>
      </c>
      <c r="M53" t="str">
        <f>REPT(" ",3-K53)&amp;IF(K53=0," ","")</f>
        <v xml:space="preserve">  </v>
      </c>
      <c r="O53" s="194"/>
      <c r="P53" s="208" t="str">
        <f>IF(ISNUMBER(D53),LOOKUP(D53,$AB$5:$AC$7),D53)</f>
        <v>〃</v>
      </c>
      <c r="Q53" s="208" t="str">
        <f t="shared" si="9"/>
        <v>HIVE (36)</v>
      </c>
      <c r="R53" s="301" t="str">
        <f t="shared" ca="1" si="11"/>
        <v xml:space="preserve">11.1  </v>
      </c>
      <c r="S53" s="305" t="str">
        <f>H53</f>
        <v>ｍ</v>
      </c>
      <c r="T53" s="145">
        <v>285</v>
      </c>
      <c r="U53" s="216">
        <f ca="1">IF(L53="l","",IF(D53+F53&gt;0,SUM(Z53:AA53),-1))</f>
        <v>3163</v>
      </c>
      <c r="V53" s="386">
        <v>5</v>
      </c>
      <c r="W53" s="142" t="str">
        <f>I53</f>
        <v xml:space="preserve">   〃</v>
      </c>
      <c r="Y53" s="114"/>
      <c r="Z53" s="114">
        <f>IF(D53&gt;0,0,TRUNC(F53*T53+Y53*X53))</f>
        <v>3163</v>
      </c>
      <c r="AA53" t="b">
        <f>IF($D53=1,SUM(Z$13:Z45)-SUM(AA$13:AA45),IF($D53=2,$AA$6,IF($D53=3,TRUNC($AA$6,-3))))</f>
        <v>0</v>
      </c>
      <c r="AB53">
        <f ca="1">IF(OR(AC$8=0,L52="l",D53&gt;0,U53=-1),0,IF(L52="b",-U53,TRUNC(F52*T53)))</f>
        <v>0</v>
      </c>
      <c r="AC53" t="b">
        <f>IF($D53=1,SUM(AB$13:AB45)-SUM(AC$13:AC45),IF($D53=2,$AA$5,IF($D53=3,TRUNC($AA$5,-3))))</f>
        <v>0</v>
      </c>
    </row>
    <row r="54" spans="3:29" ht="15" customHeight="1" x14ac:dyDescent="0.15">
      <c r="C54" s="182"/>
      <c r="D54" s="210"/>
      <c r="E54" s="184"/>
      <c r="F54" s="227"/>
      <c r="G54" s="297" t="str">
        <f ca="1">IF(OR(AC$8=0,L54="b"),"",IF(L54="l",0,"("&amp;FIXED(-F54,K55,0)&amp;M54))</f>
        <v/>
      </c>
      <c r="H54" s="183"/>
      <c r="I54" s="185"/>
      <c r="L54" t="str">
        <f t="shared" ca="1" si="10"/>
        <v>b</v>
      </c>
      <c r="M54" t="str">
        <f>")"&amp;REPT(" ",2-K55)&amp;IF(K55=0," ","")</f>
        <v xml:space="preserve">) </v>
      </c>
      <c r="O54" s="194"/>
      <c r="P54" s="207">
        <f>D54</f>
        <v>0</v>
      </c>
      <c r="Q54" s="207">
        <f t="shared" si="9"/>
        <v>0</v>
      </c>
      <c r="R54" s="300" t="str">
        <f t="shared" ca="1" si="11"/>
        <v/>
      </c>
      <c r="S54" s="304"/>
      <c r="T54" s="144"/>
      <c r="U54" s="206">
        <f ca="1">IF(OR(AC$8=0,SUM(Z55:AC55)=0),1,IF(L54="l","",SUM(AB55:AC55)))</f>
        <v>1</v>
      </c>
      <c r="V54" s="385"/>
      <c r="W54" s="197"/>
      <c r="Z54"/>
    </row>
    <row r="55" spans="3:29" ht="15" customHeight="1" x14ac:dyDescent="0.15">
      <c r="C55" s="186"/>
      <c r="D55" s="205" t="s">
        <v>236</v>
      </c>
      <c r="E55" s="188" t="s">
        <v>675</v>
      </c>
      <c r="F55" s="226">
        <v>10.8</v>
      </c>
      <c r="G55" s="296" t="str">
        <f ca="1">IF(L55="b","",IF(L55="l",0,FIXED(F55,K55,0)&amp;M55))</f>
        <v xml:space="preserve">10.8  </v>
      </c>
      <c r="H55" s="187" t="s">
        <v>8</v>
      </c>
      <c r="I55" s="189" t="s">
        <v>3</v>
      </c>
      <c r="K55" s="215">
        <v>1</v>
      </c>
      <c r="L55" t="str">
        <f t="shared" ca="1" si="10"/>
        <v>v</v>
      </c>
      <c r="M55" t="str">
        <f>REPT(" ",3-K55)&amp;IF(K55=0," ","")</f>
        <v xml:space="preserve">  </v>
      </c>
      <c r="O55" s="194"/>
      <c r="P55" s="208" t="str">
        <f>IF(ISNUMBER(D55),LOOKUP(D55,$AB$5:$AC$7),D55)</f>
        <v>〃</v>
      </c>
      <c r="Q55" s="208" t="str">
        <f t="shared" si="9"/>
        <v>HIVE (70)</v>
      </c>
      <c r="R55" s="301" t="str">
        <f t="shared" ca="1" si="11"/>
        <v xml:space="preserve">10.8  </v>
      </c>
      <c r="S55" s="305" t="str">
        <f>H55</f>
        <v>ｍ</v>
      </c>
      <c r="T55" s="145">
        <v>680</v>
      </c>
      <c r="U55" s="216">
        <f ca="1">IF(L55="l","",IF(D55+F55&gt;0,SUM(Z55:AA55),-1))</f>
        <v>7344</v>
      </c>
      <c r="V55" s="386">
        <v>8</v>
      </c>
      <c r="W55" s="142" t="str">
        <f>I55</f>
        <v xml:space="preserve">   〃</v>
      </c>
      <c r="Y55" s="114"/>
      <c r="Z55" s="114">
        <f>IF(D55&gt;0,0,TRUNC(F55*T55+Y55*X55))</f>
        <v>7344</v>
      </c>
      <c r="AA55" t="b">
        <f>IF($D55=1,SUM(Z$13:Z53)-SUM(AA$13:AA53),IF($D55=2,$AA$6,IF($D55=3,TRUNC($AA$6,-3))))</f>
        <v>0</v>
      </c>
      <c r="AB55">
        <f ca="1">IF(OR(AC$8=0,L54="l",D55&gt;0,U55=-1),0,IF(L54="b",-U55,TRUNC(F54*T55)))</f>
        <v>0</v>
      </c>
      <c r="AC55" t="b">
        <f>IF($D55=1,SUM(AB$13:AB53)-SUM(AC$13:AC53),IF($D55=2,$AA$5,IF($D55=3,TRUNC($AA$5,-3))))</f>
        <v>0</v>
      </c>
    </row>
    <row r="56" spans="3:29" ht="15" customHeight="1" x14ac:dyDescent="0.15">
      <c r="C56" s="182"/>
      <c r="D56" s="210"/>
      <c r="E56" s="184"/>
      <c r="F56" s="227"/>
      <c r="G56" s="297" t="str">
        <f ca="1">IF(OR(AC$8=0,L56="b"),"",IF(L56="l",0,"("&amp;FIXED(-F56,K57,0)&amp;M56))</f>
        <v/>
      </c>
      <c r="H56" s="183"/>
      <c r="I56" s="185"/>
      <c r="L56" t="str">
        <f t="shared" ca="1" si="10"/>
        <v>b</v>
      </c>
      <c r="M56" t="str">
        <f>")"&amp;REPT(" ",2-K57)&amp;IF(K57=0," ","")</f>
        <v xml:space="preserve">)   </v>
      </c>
      <c r="O56" s="194"/>
      <c r="P56" s="207">
        <f>D56</f>
        <v>0</v>
      </c>
      <c r="Q56" s="207">
        <f>E56</f>
        <v>0</v>
      </c>
      <c r="R56" s="300" t="str">
        <f t="shared" ca="1" si="11"/>
        <v/>
      </c>
      <c r="S56" s="304"/>
      <c r="T56" s="144"/>
      <c r="U56" s="206">
        <f ca="1">IF(OR(AC$8=0,SUM(Z57:AC57)=0),1,IF(L56="l","",SUM(AB57:AC57)))</f>
        <v>1</v>
      </c>
      <c r="V56" s="385"/>
      <c r="W56" s="197" t="str">
        <f ca="1">IF(OR(AC$8=0,SUM(Z57:AC57)=0),"",CONCATENATE("(",FIXED(-#REF!,0),")"))</f>
        <v/>
      </c>
      <c r="Y56">
        <f ca="1">SUM(AB49:AB55)</f>
        <v>0</v>
      </c>
      <c r="Z56"/>
    </row>
    <row r="57" spans="3:29" ht="15" customHeight="1" x14ac:dyDescent="0.15">
      <c r="C57" s="186"/>
      <c r="D57" s="205" t="s">
        <v>233</v>
      </c>
      <c r="E57" s="188" t="s">
        <v>4</v>
      </c>
      <c r="F57" s="226">
        <v>1</v>
      </c>
      <c r="G57" s="296" t="str">
        <f ca="1">IF(L57="b","",IF(L57="l",0,FIXED(F57,K57,0)&amp;M57))</f>
        <v xml:space="preserve">1    </v>
      </c>
      <c r="H57" s="187" t="s">
        <v>99</v>
      </c>
      <c r="I57" s="189"/>
      <c r="K57" s="215"/>
      <c r="L57" t="str">
        <f t="shared" ca="1" si="10"/>
        <v>v</v>
      </c>
      <c r="M57" t="str">
        <f>REPT(" ",3-K57)&amp;IF(K57=0," ","")</f>
        <v xml:space="preserve">    </v>
      </c>
      <c r="O57" s="194"/>
      <c r="P57" s="208" t="str">
        <f>IF(ISNUMBER(D57),LOOKUP(D57,$AB$5:$AC$7),D57)</f>
        <v>付  属  材  料</v>
      </c>
      <c r="Q57" s="208" t="str">
        <f>E57</f>
        <v>上記材料費の 90％</v>
      </c>
      <c r="R57" s="301" t="str">
        <f t="shared" ca="1" si="11"/>
        <v xml:space="preserve">1    </v>
      </c>
      <c r="S57" s="305" t="str">
        <f>H57</f>
        <v>式</v>
      </c>
      <c r="T57" s="145"/>
      <c r="U57" s="216">
        <f ca="1">IF(L57="l","",IF(D57+F57&gt;0,SUM(Z57:AA57),-1))</f>
        <v>9843</v>
      </c>
      <c r="V57" s="386"/>
      <c r="W57" s="142" t="str">
        <f>TEXT(Y57," #,0×")&amp;TEXT(X57,"0.00＝")</f>
        <v xml:space="preserve"> 10,937×0.90＝</v>
      </c>
      <c r="X57">
        <f>VALUE(RIGHT(E57,4))</f>
        <v>0.9</v>
      </c>
      <c r="Y57" s="114">
        <f>SUM(Z49:Z55)</f>
        <v>10937</v>
      </c>
      <c r="Z57" s="114">
        <f>IF(D57&gt;0,0,TRUNC(F57*T57+Y57*X57))</f>
        <v>9843</v>
      </c>
      <c r="AA57" t="b">
        <f>IF($D57=1,SUM(Z$13:Z49)-SUM(AA$13:AA49),IF($D57=2,$AA$6,IF($D57=3,TRUNC($AA$6,-3))))</f>
        <v>0</v>
      </c>
      <c r="AB57">
        <f ca="1">IF(OR(AC$8=0,L56="l",D57&gt;0,U57=-1),0,IF(L56="b",-U57,TRUNC(F56*T57)))</f>
        <v>0</v>
      </c>
      <c r="AC57" t="b">
        <f>IF($D57=1,SUM(AB$13:AB49)-SUM(AC$13:AC49),IF($D57=2,$AA$5,IF($D57=3,TRUNC($AA$5,-3))))</f>
        <v>0</v>
      </c>
    </row>
    <row r="58" spans="3:29" ht="15" customHeight="1" x14ac:dyDescent="0.15">
      <c r="C58" s="182"/>
      <c r="D58" s="212"/>
      <c r="E58" s="184"/>
      <c r="F58" s="227"/>
      <c r="G58" s="297" t="str">
        <f ca="1">IF(OR(AC$8=0,L58="b"),"",IF(L58="l",0,"("&amp;FIXED(-F58,K59,0)&amp;M58))</f>
        <v/>
      </c>
      <c r="H58" s="183"/>
      <c r="I58" s="185"/>
      <c r="L58" t="str">
        <f t="shared" ca="1" si="10"/>
        <v>b</v>
      </c>
      <c r="M58" t="str">
        <f>")"&amp;REPT(" ",2-K59)&amp;IF(K59=0," ","")</f>
        <v xml:space="preserve">)   </v>
      </c>
      <c r="O58" s="194"/>
      <c r="P58" s="317">
        <f>D58</f>
        <v>0</v>
      </c>
      <c r="Q58" s="207">
        <f>E58</f>
        <v>0</v>
      </c>
      <c r="R58" s="300" t="str">
        <f t="shared" ca="1" si="11"/>
        <v/>
      </c>
      <c r="S58" s="304"/>
      <c r="T58" s="144"/>
      <c r="U58" s="206">
        <f ca="1">IF(OR(AC$8=0,SUM(Z59:AC59)=0),1,IF(L58="l","",SUM(AB59:AC59)))</f>
        <v>1</v>
      </c>
      <c r="V58" s="385"/>
      <c r="W58" s="50"/>
      <c r="Z58"/>
    </row>
    <row r="59" spans="3:29" ht="15" customHeight="1" x14ac:dyDescent="0.15">
      <c r="C59" s="186"/>
      <c r="D59" s="213"/>
      <c r="E59" s="188"/>
      <c r="F59" s="226"/>
      <c r="G59" s="296" t="str">
        <f ca="1">IF(L59="b","",IF(L59="l",0,FIXED(F59,K59,0)&amp;M59))</f>
        <v/>
      </c>
      <c r="H59" s="187"/>
      <c r="I59" s="189"/>
      <c r="K59" s="215"/>
      <c r="L59" t="str">
        <f t="shared" ca="1" si="10"/>
        <v>b</v>
      </c>
      <c r="M59" t="str">
        <f>REPT(" ",3-K59)&amp;IF(K59=0," ","")</f>
        <v xml:space="preserve">    </v>
      </c>
      <c r="O59" s="194"/>
      <c r="P59" s="256">
        <f>IF(ISNUMBER(D59),LOOKUP(D59,$AB$5:$AC$7),D59)</f>
        <v>0</v>
      </c>
      <c r="Q59" s="208">
        <f>E59</f>
        <v>0</v>
      </c>
      <c r="R59" s="301" t="str">
        <f t="shared" ca="1" si="11"/>
        <v/>
      </c>
      <c r="S59" s="305">
        <f>H59</f>
        <v>0</v>
      </c>
      <c r="T59" s="145"/>
      <c r="U59" s="216">
        <f ca="1">IF(L59="l","",IF(D59+F59&gt;0,SUM(Z59:AA59),-1))</f>
        <v>-1</v>
      </c>
      <c r="V59" s="386"/>
      <c r="W59" s="107"/>
      <c r="Z59" s="114">
        <f>IF(D59&gt;0,0,TRUNC(F59*T59+Y59*X59))</f>
        <v>0</v>
      </c>
      <c r="AA59" t="b">
        <f>IF($D59=1,SUM(Z$13:Z57)-SUM(AA$13:AA57),IF($D59=2,$AA$6,IF($D59=3,TRUNC($AA$6,-3))))</f>
        <v>0</v>
      </c>
      <c r="AB59">
        <f ca="1">IF(OR(AC$8=0,L58="l",D59&gt;0,U59=-1),0,IF(L58="b",-U59,TRUNC(F58*T59)))</f>
        <v>0</v>
      </c>
      <c r="AC59" t="b">
        <f>IF($D59=1,SUM(AB$13:AB57)-SUM(AC$13:AC57),IF($D59=2,$AA$5,IF($D59=3,TRUNC($AA$5,-3))))</f>
        <v>0</v>
      </c>
    </row>
    <row r="60" spans="3:29" ht="15" customHeight="1" x14ac:dyDescent="0.15">
      <c r="C60" s="182"/>
      <c r="D60" s="214" t="s">
        <v>529</v>
      </c>
      <c r="E60" s="184"/>
      <c r="F60" s="227"/>
      <c r="G60" s="297" t="str">
        <f ca="1">IF(OR(AC$8=0,L60="b"),"",IF(L60="l",0,"("&amp;FIXED(-F60,K61,0)&amp;M60))</f>
        <v/>
      </c>
      <c r="H60" s="183"/>
      <c r="I60" s="185"/>
      <c r="L60" t="str">
        <f t="shared" ref="L60:L69" ca="1" si="12">CELL("type",F60)</f>
        <v>b</v>
      </c>
      <c r="M60" t="str">
        <f>")"&amp;REPT(" ",2-K61)&amp;IF(K61=0," ","")</f>
        <v xml:space="preserve">) </v>
      </c>
      <c r="O60" s="194"/>
      <c r="P60" s="317" t="str">
        <f>D60</f>
        <v>　ポリエチレン</v>
      </c>
      <c r="Q60" s="207">
        <f t="shared" ref="Q60:Q69" si="13">E60</f>
        <v>0</v>
      </c>
      <c r="R60" s="300" t="str">
        <f t="shared" ref="R60:R69" ca="1" si="14">G60</f>
        <v/>
      </c>
      <c r="S60" s="304"/>
      <c r="T60" s="144"/>
      <c r="U60" s="206">
        <f ca="1">IF(OR(AC$8=0,SUM(Z61:AC61)=0),1,IF(L60="l","",SUM(AB61:AC61)))</f>
        <v>1</v>
      </c>
      <c r="V60" s="385"/>
      <c r="W60" s="197"/>
      <c r="Z60"/>
    </row>
    <row r="61" spans="3:29" ht="15" customHeight="1" x14ac:dyDescent="0.15">
      <c r="C61" s="186"/>
      <c r="D61" s="213" t="s">
        <v>530</v>
      </c>
      <c r="E61" s="188" t="s">
        <v>448</v>
      </c>
      <c r="F61" s="226">
        <v>5.3</v>
      </c>
      <c r="G61" s="296" t="str">
        <f ca="1">IF(L61="b","",IF(L61="l",0,FIXED(F61,K61,0)&amp;M61))</f>
        <v xml:space="preserve">5.3  </v>
      </c>
      <c r="H61" s="187" t="s">
        <v>8</v>
      </c>
      <c r="I61" s="189" t="s">
        <v>445</v>
      </c>
      <c r="K61" s="215">
        <v>1</v>
      </c>
      <c r="L61" t="str">
        <f t="shared" ca="1" si="12"/>
        <v>v</v>
      </c>
      <c r="M61" t="str">
        <f>REPT(" ",3-K61)&amp;IF(K61=0," ","")</f>
        <v xml:space="preserve">  </v>
      </c>
      <c r="O61" s="194"/>
      <c r="P61" s="256" t="str">
        <f>IF(ISNUMBER(D61),LOOKUP(D61,$AB$5:$AC$7),D61)</f>
        <v>ライニング鋼管　</v>
      </c>
      <c r="Q61" s="208" t="str">
        <f t="shared" si="13"/>
        <v>PE   (28)</v>
      </c>
      <c r="R61" s="301" t="str">
        <f t="shared" ca="1" si="14"/>
        <v xml:space="preserve">5.3  </v>
      </c>
      <c r="S61" s="305" t="str">
        <f>H61</f>
        <v>ｍ</v>
      </c>
      <c r="T61" s="145">
        <v>513</v>
      </c>
      <c r="U61" s="216">
        <f ca="1">IF(L61="l","",IF(D61+F61&gt;0,SUM(Z61:AA61),-1))</f>
        <v>2718</v>
      </c>
      <c r="V61" s="386">
        <v>32</v>
      </c>
      <c r="W61" s="142" t="str">
        <f>I61</f>
        <v>地　　中</v>
      </c>
      <c r="Z61" s="114">
        <f>IF(D61&gt;0,0,TRUNC(F61*T61+Y61*X61))</f>
        <v>2718</v>
      </c>
      <c r="AA61" t="b">
        <f>IF($D61=1,SUM(Z$13:Z59)-SUM(AA$13:AA59),IF($D61=2,$AA$6,IF($D61=3,TRUNC($AA$6,-3))))</f>
        <v>0</v>
      </c>
      <c r="AB61">
        <f ca="1">IF(OR(AC$8=0,L60="l",D61&gt;0,U61=-1),0,IF(L60="b",-U61,TRUNC(F60*T61)))</f>
        <v>0</v>
      </c>
      <c r="AC61" t="b">
        <f>IF($D61=1,SUM(AB$13:AB59)-SUM(AC$13:AC59),IF($D61=2,$AA$5,IF($D61=3,TRUNC($AA$5,-3))))</f>
        <v>0</v>
      </c>
    </row>
    <row r="62" spans="3:29" ht="15" customHeight="1" x14ac:dyDescent="0.15">
      <c r="C62" s="182"/>
      <c r="D62" s="210"/>
      <c r="E62" s="184"/>
      <c r="F62" s="227"/>
      <c r="G62" s="297" t="str">
        <f ca="1">IF(OR(AC$8=0,L62="b"),"",IF(L62="l",0,"("&amp;FIXED(-F62,K63,0)&amp;M62))</f>
        <v/>
      </c>
      <c r="H62" s="183"/>
      <c r="I62" s="185"/>
      <c r="L62" t="str">
        <f t="shared" ca="1" si="12"/>
        <v>b</v>
      </c>
      <c r="M62" t="str">
        <f>")"&amp;REPT(" ",2-K63)&amp;IF(K63=0," ","")</f>
        <v xml:space="preserve">) </v>
      </c>
      <c r="O62" s="194"/>
      <c r="P62" s="207">
        <f>D62</f>
        <v>0</v>
      </c>
      <c r="Q62" s="207">
        <f t="shared" si="13"/>
        <v>0</v>
      </c>
      <c r="R62" s="300" t="str">
        <f t="shared" ca="1" si="14"/>
        <v/>
      </c>
      <c r="S62" s="304"/>
      <c r="T62" s="144"/>
      <c r="U62" s="206">
        <f ca="1">IF(OR(AC$8=0,SUM(Z63:AC63)=0),1,IF(L62="l","",SUM(AB63:AC63)))</f>
        <v>1</v>
      </c>
      <c r="V62" s="385"/>
      <c r="W62" s="197"/>
      <c r="Z62"/>
    </row>
    <row r="63" spans="3:29" ht="15" customHeight="1" x14ac:dyDescent="0.15">
      <c r="C63" s="186"/>
      <c r="D63" s="205" t="s">
        <v>236</v>
      </c>
      <c r="E63" s="188" t="s">
        <v>444</v>
      </c>
      <c r="F63" s="226">
        <v>2.6</v>
      </c>
      <c r="G63" s="296" t="str">
        <f ca="1">IF(L63="b","",IF(L63="l",0,FIXED(F63,K63,0)&amp;M63))</f>
        <v xml:space="preserve">2.6  </v>
      </c>
      <c r="H63" s="187" t="s">
        <v>8</v>
      </c>
      <c r="I63" s="189" t="s">
        <v>3</v>
      </c>
      <c r="K63" s="215">
        <v>1</v>
      </c>
      <c r="L63" t="str">
        <f t="shared" ca="1" si="12"/>
        <v>v</v>
      </c>
      <c r="M63" t="str">
        <f>REPT(" ",3-K63)&amp;IF(K63=0," ","")</f>
        <v xml:space="preserve">  </v>
      </c>
      <c r="O63" s="194"/>
      <c r="P63" s="208" t="str">
        <f>IF(ISNUMBER(D63),LOOKUP(D63,$AB$5:$AC$7),D63)</f>
        <v>〃</v>
      </c>
      <c r="Q63" s="208" t="str">
        <f t="shared" si="13"/>
        <v>PE   (36)</v>
      </c>
      <c r="R63" s="301" t="str">
        <f t="shared" ca="1" si="14"/>
        <v xml:space="preserve">2.6  </v>
      </c>
      <c r="S63" s="305" t="str">
        <f>H63</f>
        <v>ｍ</v>
      </c>
      <c r="T63" s="145">
        <v>658</v>
      </c>
      <c r="U63" s="216">
        <f ca="1">IF(L63="l","",IF(D63+F63&gt;0,SUM(Z63:AA63),-1))</f>
        <v>1710</v>
      </c>
      <c r="V63" s="386">
        <v>33</v>
      </c>
      <c r="W63" s="142" t="str">
        <f>I63</f>
        <v xml:space="preserve">   〃</v>
      </c>
      <c r="Z63" s="114">
        <f>IF(D63&gt;0,0,TRUNC(F63*T63+Y63*X63))</f>
        <v>1710</v>
      </c>
      <c r="AA63" t="b">
        <f>IF($D63=1,SUM(Z$13:Z61)-SUM(AA$13:AA61),IF($D63=2,$AA$6,IF($D63=3,TRUNC($AA$6,-3))))</f>
        <v>0</v>
      </c>
      <c r="AB63">
        <f ca="1">IF(OR(AC$8=0,L62="l",D63&gt;0,U63=-1),0,IF(L62="b",-U63,TRUNC(F62*T63)))</f>
        <v>0</v>
      </c>
      <c r="AC63" t="b">
        <f>IF($D63=1,SUM(AB$13:AB61)-SUM(AC$13:AC61),IF($D63=2,$AA$5,IF($D63=3,TRUNC($AA$5,-3))))</f>
        <v>0</v>
      </c>
    </row>
    <row r="64" spans="3:29" ht="15" customHeight="1" x14ac:dyDescent="0.15">
      <c r="C64" s="182"/>
      <c r="D64" s="210"/>
      <c r="E64" s="184"/>
      <c r="F64" s="227"/>
      <c r="G64" s="297" t="str">
        <f ca="1">IF(OR(AC$8=0,L64="b"),"",IF(L64="l",0,"("&amp;FIXED(-F64,K65,0)&amp;M64))</f>
        <v/>
      </c>
      <c r="H64" s="183"/>
      <c r="I64" s="185"/>
      <c r="L64" t="str">
        <f t="shared" ca="1" si="12"/>
        <v>b</v>
      </c>
      <c r="M64" t="str">
        <f>")"&amp;REPT(" ",2-K65)&amp;IF(K65=0," ","")</f>
        <v xml:space="preserve">) </v>
      </c>
      <c r="O64" s="194"/>
      <c r="P64" s="207">
        <f>D64</f>
        <v>0</v>
      </c>
      <c r="Q64" s="207">
        <f t="shared" si="13"/>
        <v>0</v>
      </c>
      <c r="R64" s="300" t="str">
        <f t="shared" ca="1" si="14"/>
        <v/>
      </c>
      <c r="S64" s="304"/>
      <c r="T64" s="144"/>
      <c r="U64" s="206">
        <f ca="1">IF(OR(AC$8=0,SUM(Z65:AC65)=0),1,IF(L64="l","",SUM(AB65:AC65)))</f>
        <v>1</v>
      </c>
      <c r="V64" s="385"/>
      <c r="W64" s="197"/>
      <c r="Z64"/>
    </row>
    <row r="65" spans="1:29" ht="15" customHeight="1" x14ac:dyDescent="0.15">
      <c r="C65" s="186"/>
      <c r="D65" s="205" t="s">
        <v>236</v>
      </c>
      <c r="E65" s="188" t="s">
        <v>673</v>
      </c>
      <c r="F65" s="226">
        <v>2.5</v>
      </c>
      <c r="G65" s="296" t="str">
        <f ca="1">IF(L65="b","",IF(L65="l",0,FIXED(F65,K65,0)&amp;M65))</f>
        <v xml:space="preserve">2.5  </v>
      </c>
      <c r="H65" s="187" t="s">
        <v>8</v>
      </c>
      <c r="I65" s="189" t="s">
        <v>3</v>
      </c>
      <c r="K65" s="215">
        <v>1</v>
      </c>
      <c r="L65" t="str">
        <f t="shared" ca="1" si="12"/>
        <v>v</v>
      </c>
      <c r="M65" t="str">
        <f>REPT(" ",3-K65)&amp;IF(K65=0," ","")</f>
        <v xml:space="preserve">  </v>
      </c>
      <c r="O65" s="194"/>
      <c r="P65" s="208" t="str">
        <f>IF(ISNUMBER(D65),LOOKUP(D65,$AB$5:$AC$7),D65)</f>
        <v>〃</v>
      </c>
      <c r="Q65" s="208" t="str">
        <f t="shared" si="13"/>
        <v>PE   (92)</v>
      </c>
      <c r="R65" s="301" t="str">
        <f t="shared" ca="1" si="14"/>
        <v xml:space="preserve">2.5  </v>
      </c>
      <c r="S65" s="305" t="str">
        <f>H65</f>
        <v>ｍ</v>
      </c>
      <c r="T65" s="145">
        <v>2325</v>
      </c>
      <c r="U65" s="216">
        <f ca="1">IF(L65="l","",IF(D65+F65&gt;0,SUM(Z65:AA65),-1))</f>
        <v>5812</v>
      </c>
      <c r="V65" s="386">
        <v>38</v>
      </c>
      <c r="W65" s="142" t="str">
        <f>I65</f>
        <v xml:space="preserve">   〃</v>
      </c>
      <c r="Z65" s="114">
        <f>IF(D65&gt;0,0,TRUNC(F65*T65+Y65*X65))</f>
        <v>5812</v>
      </c>
      <c r="AA65" t="b">
        <f>IF($D65=1,SUM(Z$13:Z63)-SUM(AA$13:AA63),IF($D65=2,$AA$6,IF($D65=3,TRUNC($AA$6,-3))))</f>
        <v>0</v>
      </c>
      <c r="AB65">
        <f ca="1">IF(OR(AC$8=0,L64="l",D65&gt;0,U65=-1),0,IF(L64="b",-U65,TRUNC(F64*T65)))</f>
        <v>0</v>
      </c>
      <c r="AC65" t="b">
        <f>IF($D65=1,SUM(AB$13:AB63)-SUM(AC$13:AC63),IF($D65=2,$AA$5,IF($D65=3,TRUNC($AA$5,-3))))</f>
        <v>0</v>
      </c>
    </row>
    <row r="66" spans="1:29" ht="15" customHeight="1" x14ac:dyDescent="0.15">
      <c r="C66" s="182"/>
      <c r="D66" s="210"/>
      <c r="E66" s="184"/>
      <c r="F66" s="227"/>
      <c r="G66" s="297" t="str">
        <f ca="1">IF(OR(AC$8=0,L66="b"),"",IF(L66="l",0,"("&amp;FIXED(-F66,K67,0)&amp;M66))</f>
        <v/>
      </c>
      <c r="H66" s="183"/>
      <c r="I66" s="185"/>
      <c r="L66" t="str">
        <f t="shared" ca="1" si="12"/>
        <v>b</v>
      </c>
      <c r="M66" t="str">
        <f>")"&amp;REPT(" ",2-K67)&amp;IF(K67=0," ","")</f>
        <v xml:space="preserve">)   </v>
      </c>
      <c r="O66" s="194"/>
      <c r="P66" s="207">
        <f>D66</f>
        <v>0</v>
      </c>
      <c r="Q66" s="207">
        <f t="shared" si="13"/>
        <v>0</v>
      </c>
      <c r="R66" s="300" t="str">
        <f t="shared" ca="1" si="14"/>
        <v/>
      </c>
      <c r="S66" s="304"/>
      <c r="T66" s="144"/>
      <c r="U66" s="206">
        <f ca="1">IF(OR(AC$8=0,SUM(Z67:AC67)=0),1,IF(L66="l","",SUM(AB67:AC67)))</f>
        <v>1</v>
      </c>
      <c r="V66" s="385"/>
      <c r="W66" s="197" t="str">
        <f ca="1">IF(OR(AC$8=0,SUM(Z67:AC67)=0),"",CONCATENATE("(",FIXED(-#REF!,0),")"))</f>
        <v/>
      </c>
      <c r="Y66">
        <f ca="1">SUM(AB61:AB65)</f>
        <v>0</v>
      </c>
      <c r="Z66"/>
    </row>
    <row r="67" spans="1:29" ht="15" customHeight="1" x14ac:dyDescent="0.15">
      <c r="C67" s="186"/>
      <c r="D67" s="205" t="s">
        <v>233</v>
      </c>
      <c r="E67" s="188" t="s">
        <v>774</v>
      </c>
      <c r="F67" s="226">
        <v>1</v>
      </c>
      <c r="G67" s="296" t="str">
        <f ca="1">IF(L67="b","",IF(L67="l",0,FIXED(F67,K67,0)&amp;M67))</f>
        <v xml:space="preserve">1    </v>
      </c>
      <c r="H67" s="187" t="s">
        <v>99</v>
      </c>
      <c r="I67" s="189"/>
      <c r="K67" s="215"/>
      <c r="L67" t="str">
        <f t="shared" ca="1" si="12"/>
        <v>v</v>
      </c>
      <c r="M67" t="str">
        <f>REPT(" ",3-K67)&amp;IF(K67=0," ","")</f>
        <v xml:space="preserve">    </v>
      </c>
      <c r="O67" s="194"/>
      <c r="P67" s="208" t="str">
        <f>IF(ISNUMBER(D67),LOOKUP(D67,$AB$5:$AC$7),D67)</f>
        <v>付  属  材  料</v>
      </c>
      <c r="Q67" s="208" t="str">
        <f t="shared" si="13"/>
        <v>上記材料費の 45％</v>
      </c>
      <c r="R67" s="301" t="str">
        <f t="shared" ca="1" si="14"/>
        <v xml:space="preserve">1    </v>
      </c>
      <c r="S67" s="305" t="str">
        <f>H67</f>
        <v>式</v>
      </c>
      <c r="T67" s="145"/>
      <c r="U67" s="216">
        <f ca="1">IF(L67="l","",IF(D67+F67&gt;0,SUM(Z67:AA67),-1))</f>
        <v>4608</v>
      </c>
      <c r="V67" s="386"/>
      <c r="W67" s="142" t="str">
        <f>TEXT(Y67," #,0×")&amp;TEXT(X67,"0.00＝")</f>
        <v xml:space="preserve"> 10,240×0.45＝</v>
      </c>
      <c r="X67">
        <f>VALUE(RIGHT(E67,4))</f>
        <v>0.45</v>
      </c>
      <c r="Y67" s="114">
        <f>SUM(Z61:Z65)</f>
        <v>10240</v>
      </c>
      <c r="Z67" s="114">
        <f>IF(D67&gt;0,0,TRUNC(F67*T67+Y67*X67))</f>
        <v>4608</v>
      </c>
      <c r="AA67" t="b">
        <f>IF($D67=1,SUM(Z$13:Z59)-SUM(AA$13:AA59),IF($D67=2,$AA$6,IF($D67=3,TRUNC($AA$6,-3))))</f>
        <v>0</v>
      </c>
      <c r="AB67">
        <f ca="1">IF(OR(AC$8=0,L66="l",D67&gt;0,U67=-1),0,IF(L66="b",-U67,TRUNC(F66*T67)))</f>
        <v>0</v>
      </c>
      <c r="AC67" t="b">
        <f>IF($D67=1,SUM(AB$13:AB59)-SUM(AC$13:AC59),IF($D67=2,$AA$5,IF($D67=3,TRUNC($AA$5,-3))))</f>
        <v>0</v>
      </c>
    </row>
    <row r="68" spans="1:29" ht="15" customHeight="1" x14ac:dyDescent="0.15">
      <c r="C68" s="182"/>
      <c r="D68" s="212"/>
      <c r="E68" s="184"/>
      <c r="F68" s="227"/>
      <c r="G68" s="297" t="str">
        <f ca="1">IF(OR(AC$8=0,L68="b"),"",IF(L68="l",0,"("&amp;FIXED(-F68,K69,0)&amp;M68))</f>
        <v/>
      </c>
      <c r="H68" s="183"/>
      <c r="I68" s="185"/>
      <c r="L68" t="str">
        <f t="shared" ca="1" si="12"/>
        <v>b</v>
      </c>
      <c r="M68" t="str">
        <f>")"&amp;REPT(" ",2-K69)&amp;IF(K69=0," ","")</f>
        <v xml:space="preserve">) </v>
      </c>
      <c r="O68" s="194"/>
      <c r="P68" s="317">
        <f>D68</f>
        <v>0</v>
      </c>
      <c r="Q68" s="207">
        <f t="shared" si="13"/>
        <v>0</v>
      </c>
      <c r="R68" s="300" t="str">
        <f t="shared" ca="1" si="14"/>
        <v/>
      </c>
      <c r="S68" s="304"/>
      <c r="T68" s="144"/>
      <c r="U68" s="206">
        <f ca="1">IF(OR(AC$8=0,SUM(Z69:AC69)=0),1,IF(L68="l","",SUM(AB69:AC69)))</f>
        <v>1</v>
      </c>
      <c r="V68" s="385"/>
      <c r="W68" s="50"/>
      <c r="Z68"/>
    </row>
    <row r="69" spans="1:29" ht="15" customHeight="1" x14ac:dyDescent="0.15">
      <c r="C69" s="186"/>
      <c r="D69" s="213"/>
      <c r="E69" s="188"/>
      <c r="F69" s="226"/>
      <c r="G69" s="296" t="str">
        <f ca="1">IF(L69="b","",IF(L69="l",0,FIXED(F69,K69,0)&amp;M69))</f>
        <v/>
      </c>
      <c r="H69" s="187"/>
      <c r="I69" s="189"/>
      <c r="K69" s="215">
        <v>1</v>
      </c>
      <c r="L69" t="str">
        <f t="shared" ca="1" si="12"/>
        <v>b</v>
      </c>
      <c r="M69" t="str">
        <f>REPT(" ",3-K69)&amp;IF(K69=0," ","")</f>
        <v xml:space="preserve">  </v>
      </c>
      <c r="O69" s="194"/>
      <c r="P69" s="256">
        <f>IF(ISNUMBER(D69),LOOKUP(D69,$AB$5:$AC$7),D69)</f>
        <v>0</v>
      </c>
      <c r="Q69" s="208">
        <f t="shared" si="13"/>
        <v>0</v>
      </c>
      <c r="R69" s="301" t="str">
        <f t="shared" ca="1" si="14"/>
        <v/>
      </c>
      <c r="S69" s="305">
        <f>H69</f>
        <v>0</v>
      </c>
      <c r="T69" s="145"/>
      <c r="U69" s="216">
        <f ca="1">IF(L69="l","",IF(D69+F69&gt;0,SUM(Z69:AA69),-1))</f>
        <v>-1</v>
      </c>
      <c r="V69" s="386"/>
      <c r="W69" s="107"/>
      <c r="Z69" s="114">
        <f>IF(D69&gt;0,0,TRUNC(F69*T69+Y69*X69))</f>
        <v>0</v>
      </c>
      <c r="AA69" t="b">
        <f>IF($D69=1,SUM(Z$13:Z67)-SUM(AA$13:AA67),IF($D69=2,$AA$6,IF($D69=3,TRUNC($AA$6,-3))))</f>
        <v>0</v>
      </c>
      <c r="AB69">
        <f ca="1">IF(OR(AC$8=0,L68="l",D69&gt;0,U69=-1),0,IF(L68="b",-U69,TRUNC(F68*T69)))</f>
        <v>0</v>
      </c>
      <c r="AC69" t="b">
        <f>IF($D69=1,SUM(AB$13:AB67)-SUM(AC$13:AC67),IF($D69=2,$AA$5,IF($D69=3,TRUNC($AA$5,-3))))</f>
        <v>0</v>
      </c>
    </row>
    <row r="70" spans="1:29" ht="15" customHeight="1" x14ac:dyDescent="0.15">
      <c r="C70" s="182"/>
      <c r="D70" s="212" t="s">
        <v>352</v>
      </c>
      <c r="E70" s="184"/>
      <c r="F70" s="227"/>
      <c r="G70" s="297" t="str">
        <f ca="1">IF(OR(AC$8=0,L70="b"),"",IF(L70="l",0,"("&amp;FIXED(-F70,K71,0)&amp;M70))</f>
        <v/>
      </c>
      <c r="H70" s="183"/>
      <c r="I70" s="185"/>
      <c r="L70" t="str">
        <f ca="1">CELL("type",F70)</f>
        <v>b</v>
      </c>
      <c r="M70" t="str">
        <f>")"&amp;REPT(" ",2-K71)&amp;IF(K71=0," ","")</f>
        <v xml:space="preserve">) </v>
      </c>
      <c r="O70" s="194"/>
      <c r="P70" s="317" t="str">
        <f>D70</f>
        <v>　耐衝撃性</v>
      </c>
      <c r="Q70" s="207">
        <f>E70</f>
        <v>0</v>
      </c>
      <c r="R70" s="300" t="str">
        <f ca="1">G70</f>
        <v/>
      </c>
      <c r="S70" s="304"/>
      <c r="T70" s="144"/>
      <c r="U70" s="206">
        <f ca="1">IF(OR(AC$8=0,SUM(Z71:AC71)=0),1,IF(L70="l","",SUM(AB71:AC71)))</f>
        <v>1</v>
      </c>
      <c r="V70" s="385"/>
      <c r="W70" s="50"/>
      <c r="Z70"/>
    </row>
    <row r="71" spans="1:29" ht="15" customHeight="1" x14ac:dyDescent="0.15">
      <c r="C71" s="186"/>
      <c r="D71" s="213" t="s">
        <v>353</v>
      </c>
      <c r="E71" s="188" t="s">
        <v>380</v>
      </c>
      <c r="F71" s="226">
        <v>0.9</v>
      </c>
      <c r="G71" s="296" t="str">
        <f ca="1">IF(L71="b","",IF(L71="l",0,FIXED(F71,K71,0)&amp;M71))</f>
        <v xml:space="preserve">0.9  </v>
      </c>
      <c r="H71" s="187" t="s">
        <v>8</v>
      </c>
      <c r="I71" s="189" t="s">
        <v>445</v>
      </c>
      <c r="K71" s="215">
        <v>1</v>
      </c>
      <c r="L71" t="str">
        <f ca="1">CELL("type",F71)</f>
        <v>v</v>
      </c>
      <c r="M71" t="str">
        <f>REPT(" ",3-K71)&amp;IF(K71=0," ","")</f>
        <v xml:space="preserve">  </v>
      </c>
      <c r="O71" s="194"/>
      <c r="P71" s="256" t="str">
        <f>IF(ISNUMBER(D71),LOOKUP(D71,$AB$5:$AC$7),D71)</f>
        <v>硬質ビニル電線管　</v>
      </c>
      <c r="Q71" s="208" t="str">
        <f>E71</f>
        <v>HIVE (16)</v>
      </c>
      <c r="R71" s="301" t="str">
        <f ca="1">G71</f>
        <v xml:space="preserve">0.9  </v>
      </c>
      <c r="S71" s="305" t="str">
        <f>H71</f>
        <v>ｍ</v>
      </c>
      <c r="T71" s="145">
        <v>87</v>
      </c>
      <c r="U71" s="216">
        <f ca="1">IF(L71="l","",IF(D71+F71&gt;0,SUM(Z71:AA71),-1))</f>
        <v>78</v>
      </c>
      <c r="V71" s="386">
        <v>2</v>
      </c>
      <c r="W71" s="107" t="str">
        <f>I71</f>
        <v>地　　中</v>
      </c>
      <c r="Z71" s="114">
        <f>IF(D71&gt;0,0,TRUNC(F71*T71+Y71*X71))</f>
        <v>78</v>
      </c>
      <c r="AA71" t="b">
        <f>IF($D71=1,SUM(Z$13:Z69)-SUM(AA$13:AA69),IF($D71=2,$AA$6,IF($D71=3,TRUNC($AA$6,-3))))</f>
        <v>0</v>
      </c>
      <c r="AB71">
        <f ca="1">IF(OR(AC$8=0,L70="l",D71&gt;0,U71=-1),0,IF(L70="b",-U71,TRUNC(F70*T71)))</f>
        <v>0</v>
      </c>
      <c r="AC71" t="b">
        <f>IF($D71=1,SUM(AB$13:AB69)-SUM(AC$13:AC69),IF($D71=2,$AA$5,IF($D71=3,TRUNC($AA$5,-3))))</f>
        <v>0</v>
      </c>
    </row>
    <row r="72" spans="1:29" ht="15" customHeight="1" x14ac:dyDescent="0.15">
      <c r="C72" s="182"/>
      <c r="D72" s="210"/>
      <c r="E72" s="184"/>
      <c r="F72" s="227"/>
      <c r="G72" s="297" t="str">
        <f ca="1">IF(OR(AC$8=0,L72="b"),"",IF(L72="l",0,"("&amp;FIXED(-F72,K73,0)&amp;M72))</f>
        <v/>
      </c>
      <c r="H72" s="183"/>
      <c r="I72" s="185"/>
      <c r="L72" t="str">
        <f ca="1">CELL("type",F72)</f>
        <v>b</v>
      </c>
      <c r="M72" t="str">
        <f>")"&amp;REPT(" ",2-K73)&amp;IF(K73=0," ","")</f>
        <v xml:space="preserve">)   </v>
      </c>
      <c r="O72" s="194"/>
      <c r="P72" s="207">
        <f>D72</f>
        <v>0</v>
      </c>
      <c r="Q72" s="207">
        <f>E72</f>
        <v>0</v>
      </c>
      <c r="R72" s="300" t="str">
        <f ca="1">G72</f>
        <v/>
      </c>
      <c r="S72" s="304"/>
      <c r="T72" s="144"/>
      <c r="U72" s="206">
        <f ca="1">IF(OR(AC$8=0,SUM(Z73:AC73)=0),1,IF(L72="l","",SUM(AB73:AC73)))</f>
        <v>1</v>
      </c>
      <c r="V72" s="385"/>
      <c r="W72" s="197" t="str">
        <f ca="1">IF(OR(AC$8=0,SUM(Z73:AC73)=0),"",CONCATENATE("(",FIXED(-#REF!,0),")"))</f>
        <v/>
      </c>
      <c r="Y72">
        <f ca="1">SUM(AB71)</f>
        <v>0</v>
      </c>
      <c r="Z72"/>
    </row>
    <row r="73" spans="1:29" ht="15" customHeight="1" thickBot="1" x14ac:dyDescent="0.2">
      <c r="C73" s="190"/>
      <c r="D73" s="211" t="s">
        <v>233</v>
      </c>
      <c r="E73" s="192" t="s">
        <v>25</v>
      </c>
      <c r="F73" s="228">
        <v>1</v>
      </c>
      <c r="G73" s="298" t="str">
        <f ca="1">IF(L73="b","",IF(L73="l",0,FIXED(F73,K73,0)&amp;M73))</f>
        <v xml:space="preserve">1    </v>
      </c>
      <c r="H73" s="191" t="s">
        <v>99</v>
      </c>
      <c r="I73" s="193"/>
      <c r="K73" s="215"/>
      <c r="L73" t="str">
        <f ca="1">CELL("type",F73)</f>
        <v>v</v>
      </c>
      <c r="M73" t="str">
        <f>REPT(" ",3-K73)&amp;IF(K73=0," ","")</f>
        <v xml:space="preserve">    </v>
      </c>
      <c r="O73" s="254"/>
      <c r="P73" s="209" t="str">
        <f>IF(ISNUMBER(D73),LOOKUP(D73,$AB$5:$AC$7),D73)</f>
        <v>付  属  材  料</v>
      </c>
      <c r="Q73" s="209" t="str">
        <f>E73</f>
        <v>上記材料費の 30％</v>
      </c>
      <c r="R73" s="302" t="str">
        <f ca="1">G73</f>
        <v xml:space="preserve">1    </v>
      </c>
      <c r="S73" s="306" t="str">
        <f>H73</f>
        <v>式</v>
      </c>
      <c r="T73" s="146"/>
      <c r="U73" s="217">
        <f ca="1">IF(L73="l","",IF(D73+F73&gt;0,SUM(Z73:AA73),-1))</f>
        <v>23</v>
      </c>
      <c r="V73" s="389"/>
      <c r="W73" s="409" t="str">
        <f>TEXT(Y73," #,0×")&amp;TEXT(X73,"0.00＝")</f>
        <v xml:space="preserve"> 78×0.30＝</v>
      </c>
      <c r="X73">
        <f>VALUE(RIGHT(E73,4))</f>
        <v>0.3</v>
      </c>
      <c r="Y73" s="114">
        <f>SUM(Z71)</f>
        <v>78</v>
      </c>
      <c r="Z73" s="114">
        <f>IF(D73&gt;0,0,TRUNC(F73*T73+Y73*X73))</f>
        <v>23</v>
      </c>
      <c r="AA73" t="b">
        <f>IF($D73=1,SUM(Z$13:Z65)-SUM(AA$13:AA65),IF($D73=2,$AA$6,IF($D73=3,TRUNC($AA$6,-3))))</f>
        <v>0</v>
      </c>
      <c r="AB73">
        <f ca="1">IF(OR(AC$8=0,L72="l",D73&gt;0,U73=-1),0,IF(L72="b",-U73,TRUNC(F72*T73)))</f>
        <v>0</v>
      </c>
      <c r="AC73" t="b">
        <f>IF($D73=1,SUM(AB$13:AB65)-SUM(AC$13:AC65),IF($D73=2,$AA$5,IF($D73=3,TRUNC($AA$5,-3))))</f>
        <v>0</v>
      </c>
    </row>
    <row r="74" spans="1:29" ht="13.5" customHeight="1" thickBot="1" x14ac:dyDescent="0.2">
      <c r="A74" s="257" t="b">
        <f>SUM(F79:F141)&gt;0</f>
        <v>1</v>
      </c>
      <c r="B74" s="257"/>
      <c r="C74" s="257"/>
      <c r="D74" s="257"/>
      <c r="E74" s="257"/>
      <c r="F74" s="257"/>
      <c r="G74" s="484" t="s">
        <v>526</v>
      </c>
      <c r="H74" s="257"/>
      <c r="I74" s="257" t="str">
        <f ca="1">"( "&amp;FIXED(SUM(A$8:A74),0)&amp;" ／ "&amp;FIXED(B$8,0)&amp;" )"</f>
        <v>( 2 ／ 3 )</v>
      </c>
      <c r="J74" s="257"/>
      <c r="K74" s="257"/>
      <c r="L74" s="257"/>
      <c r="M74" s="257"/>
      <c r="N74" s="257"/>
      <c r="O74" s="257"/>
      <c r="P74" s="257"/>
      <c r="Q74" s="257"/>
      <c r="R74" s="257"/>
      <c r="S74" s="257"/>
      <c r="T74" s="257"/>
      <c r="U74" s="258" t="str">
        <f>G74</f>
        <v>電気設備(引込)</v>
      </c>
      <c r="V74" s="390"/>
      <c r="W74" s="257" t="str">
        <f ca="1">I74</f>
        <v>( 2 ／ 3 )</v>
      </c>
      <c r="Z74"/>
    </row>
    <row r="75" spans="1:29" ht="13.5" customHeight="1" x14ac:dyDescent="0.15">
      <c r="C75" s="16"/>
      <c r="D75" s="102"/>
      <c r="E75" s="102"/>
      <c r="F75" s="18"/>
      <c r="G75" s="102"/>
      <c r="H75" s="102"/>
      <c r="I75" s="48"/>
      <c r="O75" s="780" t="s">
        <v>258</v>
      </c>
      <c r="P75" s="47"/>
      <c r="Q75" s="47"/>
      <c r="R75" s="102"/>
      <c r="S75" s="47"/>
      <c r="T75" s="109" t="s">
        <v>88</v>
      </c>
      <c r="U75" s="110"/>
      <c r="V75" s="781" t="s">
        <v>257</v>
      </c>
      <c r="W75" s="48"/>
    </row>
    <row r="76" spans="1:29" ht="13.5" customHeight="1" x14ac:dyDescent="0.15">
      <c r="C76" s="24" t="s">
        <v>222</v>
      </c>
      <c r="D76" s="6" t="s">
        <v>223</v>
      </c>
      <c r="E76" s="7" t="s">
        <v>224</v>
      </c>
      <c r="F76" s="25"/>
      <c r="G76" s="6" t="s">
        <v>105</v>
      </c>
      <c r="H76" s="6" t="s">
        <v>92</v>
      </c>
      <c r="I76" s="69" t="s">
        <v>225</v>
      </c>
      <c r="O76" s="752"/>
      <c r="P76" s="6" t="s">
        <v>89</v>
      </c>
      <c r="Q76" s="6" t="s">
        <v>90</v>
      </c>
      <c r="R76" s="7" t="s">
        <v>91</v>
      </c>
      <c r="S76" s="6" t="s">
        <v>92</v>
      </c>
      <c r="T76" s="6" t="s">
        <v>93</v>
      </c>
      <c r="U76" s="6" t="s">
        <v>94</v>
      </c>
      <c r="V76" s="782"/>
      <c r="W76" s="106" t="s">
        <v>226</v>
      </c>
      <c r="Z76"/>
    </row>
    <row r="77" spans="1:29" ht="13.5" customHeight="1" thickBot="1" x14ac:dyDescent="0.2">
      <c r="C77" s="71"/>
      <c r="D77" s="40"/>
      <c r="E77" s="40"/>
      <c r="F77" s="36"/>
      <c r="G77" s="40"/>
      <c r="H77" s="40"/>
      <c r="I77" s="52"/>
      <c r="M77" t="s">
        <v>227</v>
      </c>
      <c r="O77" s="753"/>
      <c r="P77" s="39"/>
      <c r="Q77" s="39"/>
      <c r="R77" s="40"/>
      <c r="S77" s="39"/>
      <c r="T77" s="56" t="s">
        <v>96</v>
      </c>
      <c r="U77" s="56" t="s">
        <v>96</v>
      </c>
      <c r="V77" s="783"/>
      <c r="W77" s="52"/>
    </row>
    <row r="78" spans="1:29" ht="15" customHeight="1" thickTop="1" x14ac:dyDescent="0.15">
      <c r="C78" s="182"/>
      <c r="D78" s="214" t="s">
        <v>343</v>
      </c>
      <c r="E78" s="184"/>
      <c r="F78" s="227"/>
      <c r="G78" s="297" t="str">
        <f ca="1">IF(OR(AC$8=0,L78="b"),"",IF(L78="l",0,"("&amp;FIXED(-F78,K79,0)&amp;M78))</f>
        <v/>
      </c>
      <c r="H78" s="183"/>
      <c r="I78" s="185"/>
      <c r="L78" t="str">
        <f t="shared" ref="L78:L95" ca="1" si="15">CELL("type",F78)</f>
        <v>b</v>
      </c>
      <c r="M78" t="str">
        <f>")"&amp;REPT(" ",2-K79)&amp;IF(K79=0," ","")</f>
        <v xml:space="preserve">) </v>
      </c>
      <c r="O78" s="182"/>
      <c r="P78" s="255" t="str">
        <f>D78</f>
        <v>　波付硬質</v>
      </c>
      <c r="Q78" s="207">
        <f t="shared" ref="Q78:Q85" si="16">E78</f>
        <v>0</v>
      </c>
      <c r="R78" s="300" t="str">
        <f t="shared" ref="R78:R95" ca="1" si="17">G78</f>
        <v/>
      </c>
      <c r="S78" s="304"/>
      <c r="T78" s="144"/>
      <c r="U78" s="206">
        <f ca="1">IF(OR(AC$8=0,SUM(Z79:AC79)=0),1,IF(L78="l","",SUM(AB79:AC79)))</f>
        <v>1</v>
      </c>
      <c r="V78" s="385"/>
      <c r="W78" s="197" t="str">
        <f>IF(OR(AC$8=0,Y78+Y79=0),"",TEXT(-Y78,"(#,0)"))</f>
        <v/>
      </c>
      <c r="Z78"/>
    </row>
    <row r="79" spans="1:29" ht="15" customHeight="1" x14ac:dyDescent="0.15">
      <c r="C79" s="186" t="s">
        <v>52</v>
      </c>
      <c r="D79" s="213" t="s">
        <v>344</v>
      </c>
      <c r="E79" s="188" t="s">
        <v>377</v>
      </c>
      <c r="F79" s="226">
        <v>79.400000000000006</v>
      </c>
      <c r="G79" s="296" t="str">
        <f ca="1">IF(L79="b","",IF(L79="l",0,FIXED(F79,K79,0)&amp;M79))</f>
        <v xml:space="preserve">79.4  </v>
      </c>
      <c r="H79" s="187" t="s">
        <v>8</v>
      </c>
      <c r="I79" s="189" t="s">
        <v>445</v>
      </c>
      <c r="K79" s="215">
        <v>1</v>
      </c>
      <c r="L79" t="str">
        <f t="shared" ca="1" si="15"/>
        <v>v</v>
      </c>
      <c r="M79" t="str">
        <f>REPT(" ",3-K79)&amp;IF(K79=0," ","")</f>
        <v xml:space="preserve">  </v>
      </c>
      <c r="O79" s="182"/>
      <c r="P79" s="256" t="str">
        <f>IF(ISNUMBER(D79),LOOKUP(D79,$AB$5:$AC$7),D79)</f>
        <v>ポリエチレン管　</v>
      </c>
      <c r="Q79" s="208" t="str">
        <f t="shared" si="16"/>
        <v>FEP  (30)</v>
      </c>
      <c r="R79" s="301" t="str">
        <f t="shared" ca="1" si="17"/>
        <v xml:space="preserve">79.4  </v>
      </c>
      <c r="S79" s="305" t="str">
        <f>H79</f>
        <v>ｍ</v>
      </c>
      <c r="T79" s="145">
        <v>217</v>
      </c>
      <c r="U79" s="216">
        <f ca="1">IF(L79="l","",IF(D79+F79&gt;0,SUM(Z79:AA79),-1))</f>
        <v>17229</v>
      </c>
      <c r="V79" s="386">
        <v>21</v>
      </c>
      <c r="W79" s="142" t="str">
        <f>I79</f>
        <v>地　　中</v>
      </c>
      <c r="Z79" s="114">
        <f>IF(D79&gt;0,0,TRUNC(F79*T79+Y79*X79))</f>
        <v>17229</v>
      </c>
      <c r="AA79" t="b">
        <f>IF($D79=1,SUM(Z$13:Z77)-SUM(AA$13:AA77),IF($D79=2,$AA$6,IF($D79=3,TRUNC($AA$6,-3))))</f>
        <v>0</v>
      </c>
      <c r="AB79">
        <f ca="1">IF(OR(AC$8=0,L78="l",D79&gt;0,U79=-1),0,IF(L78="b",-U79,TRUNC(F78*T79)))</f>
        <v>0</v>
      </c>
      <c r="AC79" t="b">
        <f>IF($D79=1,SUM(AB$13:AB77)-SUM(AC$13:AC77),IF($D79=2,$AA$5,IF($D79=3,TRUNC($AA$5,-3))))</f>
        <v>0</v>
      </c>
    </row>
    <row r="80" spans="1:29" ht="15" customHeight="1" x14ac:dyDescent="0.15">
      <c r="C80" s="182"/>
      <c r="D80" s="210"/>
      <c r="E80" s="184"/>
      <c r="F80" s="227"/>
      <c r="G80" s="297" t="str">
        <f ca="1">IF(OR(AC$8=0,L80="b"),"",IF(L80="l",0,"("&amp;FIXED(-F80,K81,0)&amp;M80))</f>
        <v/>
      </c>
      <c r="H80" s="183"/>
      <c r="I80" s="185"/>
      <c r="L80" t="str">
        <f t="shared" ca="1" si="15"/>
        <v>b</v>
      </c>
      <c r="M80" t="str">
        <f>")"&amp;REPT(" ",2-K81)&amp;IF(K81=0," ","")</f>
        <v xml:space="preserve">) </v>
      </c>
      <c r="O80" s="194" t="s">
        <v>85</v>
      </c>
      <c r="P80" s="207">
        <f>D80</f>
        <v>0</v>
      </c>
      <c r="Q80" s="207">
        <f t="shared" si="16"/>
        <v>0</v>
      </c>
      <c r="R80" s="300" t="str">
        <f t="shared" ca="1" si="17"/>
        <v/>
      </c>
      <c r="S80" s="304"/>
      <c r="T80" s="144"/>
      <c r="U80" s="206">
        <f ca="1">IF(OR(AC$8=0,SUM(Z81:AC81)=0),1,IF(L80="l","",SUM(AB81:AC81)))</f>
        <v>1</v>
      </c>
      <c r="V80" s="385"/>
      <c r="W80" s="197" t="str">
        <f>IF(OR(AC$8=0,Y80+Y81=0),"",TEXT(-Y80,"(#,0)"))</f>
        <v/>
      </c>
      <c r="Z80"/>
    </row>
    <row r="81" spans="3:29" ht="15" customHeight="1" x14ac:dyDescent="0.15">
      <c r="C81" s="186"/>
      <c r="D81" s="205" t="s">
        <v>236</v>
      </c>
      <c r="E81" s="188" t="s">
        <v>531</v>
      </c>
      <c r="F81" s="226">
        <v>39.700000000000003</v>
      </c>
      <c r="G81" s="296" t="str">
        <f ca="1">IF(L81="b","",IF(L81="l",0,FIXED(F81,K81,0)&amp;M81))</f>
        <v xml:space="preserve">39.7  </v>
      </c>
      <c r="H81" s="187" t="s">
        <v>8</v>
      </c>
      <c r="I81" s="189" t="s">
        <v>446</v>
      </c>
      <c r="K81" s="215">
        <v>1</v>
      </c>
      <c r="L81" t="str">
        <f t="shared" ca="1" si="15"/>
        <v>v</v>
      </c>
      <c r="M81" t="str">
        <f>REPT(" ",3-K81)&amp;IF(K81=0," ","")</f>
        <v xml:space="preserve">  </v>
      </c>
      <c r="O81" s="194"/>
      <c r="P81" s="208" t="str">
        <f>IF(ISNUMBER(D81),LOOKUP(D81,$AB$5:$AC$7),D81)</f>
        <v>〃</v>
      </c>
      <c r="Q81" s="208" t="str">
        <f t="shared" si="16"/>
        <v>FEP  (40)</v>
      </c>
      <c r="R81" s="301" t="str">
        <f t="shared" ca="1" si="17"/>
        <v xml:space="preserve">39.7  </v>
      </c>
      <c r="S81" s="305" t="str">
        <f>H81</f>
        <v>ｍ</v>
      </c>
      <c r="T81" s="145">
        <v>236</v>
      </c>
      <c r="U81" s="216">
        <f ca="1">IF(L81="l","",IF(D81+F81&gt;0,SUM(Z81:AA81),-1))</f>
        <v>9369</v>
      </c>
      <c r="V81" s="386">
        <v>22</v>
      </c>
      <c r="W81" s="142" t="str">
        <f>I81</f>
        <v xml:space="preserve"> 　〃</v>
      </c>
      <c r="Z81" s="114">
        <f>IF(D81&gt;0,0,TRUNC(F81*T81+Y81*X81))</f>
        <v>9369</v>
      </c>
      <c r="AA81" t="b">
        <f>IF($D81=1,SUM(Z$13:Z79)-SUM(AA$13:AA79),IF($D81=2,$AA$6,IF($D81=3,TRUNC($AA$6,-3))))</f>
        <v>0</v>
      </c>
      <c r="AB81">
        <f ca="1">IF(OR(AC$8=0,L80="l",D81&gt;0,U81=-1),0,IF(L80="b",-U81,TRUNC(F80*T81)))</f>
        <v>0</v>
      </c>
      <c r="AC81" t="b">
        <f>IF($D81=1,SUM(AB$13:AB79)-SUM(AC$13:AC79),IF($D81=2,$AA$5,IF($D81=3,TRUNC($AA$5,-3))))</f>
        <v>0</v>
      </c>
    </row>
    <row r="82" spans="3:29" ht="15" customHeight="1" x14ac:dyDescent="0.15">
      <c r="C82" s="182"/>
      <c r="D82" s="210"/>
      <c r="E82" s="184"/>
      <c r="F82" s="227"/>
      <c r="G82" s="297" t="str">
        <f ca="1">IF(OR(AC$8=0,L82="b"),"",IF(L82="l",0,"("&amp;FIXED(-F82,K83,0)&amp;M82))</f>
        <v/>
      </c>
      <c r="H82" s="183"/>
      <c r="I82" s="185"/>
      <c r="L82" t="str">
        <f t="shared" ca="1" si="15"/>
        <v>b</v>
      </c>
      <c r="M82" t="str">
        <f>")"&amp;REPT(" ",2-K83)&amp;IF(K83=0," ","")</f>
        <v xml:space="preserve">) </v>
      </c>
      <c r="O82" s="194"/>
      <c r="P82" s="207">
        <f>D82</f>
        <v>0</v>
      </c>
      <c r="Q82" s="207">
        <f t="shared" si="16"/>
        <v>0</v>
      </c>
      <c r="R82" s="300" t="str">
        <f t="shared" ca="1" si="17"/>
        <v/>
      </c>
      <c r="S82" s="304"/>
      <c r="T82" s="144"/>
      <c r="U82" s="206">
        <f ca="1">IF(OR(AC$8=0,SUM(Z83:AC83)=0),1,IF(L82="l","",SUM(AB83:AC83)))</f>
        <v>1</v>
      </c>
      <c r="V82" s="385"/>
      <c r="W82" s="197" t="str">
        <f>IF(OR(AC$8=0,Y82+Y83=0),"",TEXT(-Y82,"(#,0)"))</f>
        <v/>
      </c>
      <c r="Z82"/>
    </row>
    <row r="83" spans="3:29" ht="15" customHeight="1" x14ac:dyDescent="0.15">
      <c r="C83" s="186"/>
      <c r="D83" s="205" t="s">
        <v>236</v>
      </c>
      <c r="E83" s="188" t="s">
        <v>532</v>
      </c>
      <c r="F83" s="226">
        <v>39.700000000000003</v>
      </c>
      <c r="G83" s="296" t="str">
        <f ca="1">IF(L83="b","",IF(L83="l",0,FIXED(F83,K83,0)&amp;M83))</f>
        <v xml:space="preserve">39.7  </v>
      </c>
      <c r="H83" s="187" t="s">
        <v>8</v>
      </c>
      <c r="I83" s="189" t="s">
        <v>446</v>
      </c>
      <c r="K83" s="215">
        <v>1</v>
      </c>
      <c r="L83" t="str">
        <f t="shared" ca="1" si="15"/>
        <v>v</v>
      </c>
      <c r="M83" t="str">
        <f>REPT(" ",3-K83)&amp;IF(K83=0," ","")</f>
        <v xml:space="preserve">  </v>
      </c>
      <c r="O83" s="194" t="s">
        <v>86</v>
      </c>
      <c r="P83" s="208" t="str">
        <f>IF(ISNUMBER(D83),LOOKUP(D83,$AB$5:$AC$7),D83)</f>
        <v>〃</v>
      </c>
      <c r="Q83" s="208" t="str">
        <f t="shared" si="16"/>
        <v>FEP (100)</v>
      </c>
      <c r="R83" s="301" t="str">
        <f t="shared" ca="1" si="17"/>
        <v xml:space="preserve">39.7  </v>
      </c>
      <c r="S83" s="305" t="str">
        <f>H83</f>
        <v>ｍ</v>
      </c>
      <c r="T83" s="145">
        <v>618</v>
      </c>
      <c r="U83" s="216">
        <f ca="1">IF(L83="l","",IF(D83+F83&gt;0,SUM(Z83:AA83),-1))</f>
        <v>24534</v>
      </c>
      <c r="V83" s="386">
        <v>26</v>
      </c>
      <c r="W83" s="142" t="str">
        <f>I83</f>
        <v xml:space="preserve"> 　〃</v>
      </c>
      <c r="Z83" s="114">
        <f>IF(D83&gt;0,0,TRUNC(F83*T83+Y83*X83))</f>
        <v>24534</v>
      </c>
      <c r="AA83" t="b">
        <f>IF($D83=1,SUM(Z$13:Z81)-SUM(AA$13:AA81),IF($D83=2,$AA$6,IF($D83=3,TRUNC($AA$6,-3))))</f>
        <v>0</v>
      </c>
      <c r="AB83">
        <f ca="1">IF(OR(AC$8=0,L82="l",D83&gt;0,U83=-1),0,IF(L82="b",-U83,TRUNC(F82*T83)))</f>
        <v>0</v>
      </c>
      <c r="AC83" t="b">
        <f>IF($D83=1,SUM(AB$13:AB81)-SUM(AC$13:AC81),IF($D83=2,$AA$5,IF($D83=3,TRUNC($AA$5,-3))))</f>
        <v>0</v>
      </c>
    </row>
    <row r="84" spans="3:29" ht="15" customHeight="1" x14ac:dyDescent="0.15">
      <c r="C84" s="182"/>
      <c r="D84" s="210"/>
      <c r="E84" s="184"/>
      <c r="F84" s="227"/>
      <c r="G84" s="297" t="str">
        <f ca="1">IF(OR(AC$8=0,L84="b"),"",IF(L84="l",0,"("&amp;FIXED(-F84,K85,0)&amp;M84))</f>
        <v/>
      </c>
      <c r="H84" s="183"/>
      <c r="I84" s="185"/>
      <c r="L84" t="str">
        <f t="shared" ca="1" si="15"/>
        <v>b</v>
      </c>
      <c r="M84" t="str">
        <f>")"&amp;REPT(" ",2-K85)&amp;IF(K85=0," ","")</f>
        <v xml:space="preserve">)   </v>
      </c>
      <c r="O84" s="194"/>
      <c r="P84" s="207">
        <f>D84</f>
        <v>0</v>
      </c>
      <c r="Q84" s="207">
        <f t="shared" si="16"/>
        <v>0</v>
      </c>
      <c r="R84" s="300" t="str">
        <f t="shared" ca="1" si="17"/>
        <v/>
      </c>
      <c r="S84" s="304"/>
      <c r="T84" s="144"/>
      <c r="U84" s="206">
        <f ca="1">IF(OR(AC$8=0,SUM(Z85:AC85)=0),1,IF(L84="l","",SUM(AB85:AC85)))</f>
        <v>1</v>
      </c>
      <c r="V84" s="385"/>
      <c r="W84" s="197" t="str">
        <f ca="1">IF(OR(AC$8=0,SUM(Z85:AC85)=0),"",CONCATENATE("(",FIXED(-#REF!,0),")"))</f>
        <v/>
      </c>
      <c r="Y84">
        <f ca="1">SUM(AB79:AB83)</f>
        <v>0</v>
      </c>
      <c r="Z84"/>
    </row>
    <row r="85" spans="3:29" ht="15" customHeight="1" x14ac:dyDescent="0.15">
      <c r="C85" s="186"/>
      <c r="D85" s="205" t="s">
        <v>233</v>
      </c>
      <c r="E85" s="188" t="s">
        <v>9</v>
      </c>
      <c r="F85" s="226">
        <v>1</v>
      </c>
      <c r="G85" s="296" t="str">
        <f ca="1">IF(L85="b","",IF(L85="l",0,FIXED(F85,K85,0)&amp;M85))</f>
        <v xml:space="preserve">1    </v>
      </c>
      <c r="H85" s="187" t="s">
        <v>99</v>
      </c>
      <c r="I85" s="189"/>
      <c r="K85" s="215"/>
      <c r="L85" t="str">
        <f t="shared" ca="1" si="15"/>
        <v>v</v>
      </c>
      <c r="M85" t="str">
        <f>REPT(" ",3-K85)&amp;IF(K85=0," ","")</f>
        <v xml:space="preserve">    </v>
      </c>
      <c r="O85" s="194"/>
      <c r="P85" s="208" t="str">
        <f>IF(ISNUMBER(D85),LOOKUP(D85,$AB$5:$AC$7),D85)</f>
        <v>付  属  材  料</v>
      </c>
      <c r="Q85" s="208" t="str">
        <f t="shared" si="16"/>
        <v>上記材料費の 10％</v>
      </c>
      <c r="R85" s="301" t="str">
        <f t="shared" ca="1" si="17"/>
        <v xml:space="preserve">1    </v>
      </c>
      <c r="S85" s="305" t="str">
        <f>H85</f>
        <v>式</v>
      </c>
      <c r="T85" s="145"/>
      <c r="U85" s="216">
        <f ca="1">IF(L85="l","",IF(D85+F85&gt;0,SUM(Z85:AA85),-1))</f>
        <v>5113</v>
      </c>
      <c r="V85" s="386"/>
      <c r="W85" s="142" t="str">
        <f>TEXT(Y85," #,0×")&amp;TEXT(X85,"0.00＝")</f>
        <v xml:space="preserve"> 51,132×0.10＝</v>
      </c>
      <c r="X85">
        <f>VALUE(RIGHT(E85,4))</f>
        <v>0.1</v>
      </c>
      <c r="Y85" s="114">
        <f>SUM(Z79:Z83)</f>
        <v>51132</v>
      </c>
      <c r="Z85" s="114">
        <f>IF(D85&gt;0,0,TRUNC(F85*T85+Y85*X85))</f>
        <v>5113</v>
      </c>
      <c r="AA85" t="b">
        <f>IF($D85=1,SUM(Z$13:Z77)-SUM(AA$13:AA77),IF($D85=2,$AA$6,IF($D85=3,TRUNC($AA$6,-3))))</f>
        <v>0</v>
      </c>
      <c r="AB85">
        <f ca="1">IF(OR(AC$8=0,L84="l",D85&gt;0,U85=-1),0,IF(L84="b",-U85,TRUNC(F84*T85)))</f>
        <v>0</v>
      </c>
      <c r="AC85" t="b">
        <f>IF($D85=1,SUM(AB$13:AB77)-SUM(AC$13:AC77),IF($D85=2,$AA$5,IF($D85=3,TRUNC($AA$5,-3))))</f>
        <v>0</v>
      </c>
    </row>
    <row r="86" spans="3:29" ht="15" customHeight="1" x14ac:dyDescent="0.15">
      <c r="C86" s="182"/>
      <c r="D86" s="210"/>
      <c r="E86" s="184"/>
      <c r="F86" s="227"/>
      <c r="G86" s="297" t="str">
        <f ca="1">IF(OR(AC$8=0,L86="b"),"",IF(L86="l",0,"("&amp;FIXED(-F86,K87,0)&amp;M86))</f>
        <v/>
      </c>
      <c r="H86" s="183"/>
      <c r="I86" s="185"/>
      <c r="L86" t="str">
        <f t="shared" ca="1" si="15"/>
        <v>b</v>
      </c>
      <c r="M86" t="str">
        <f>")"&amp;REPT(" ",2-K87)&amp;IF(K87=0," ","")</f>
        <v xml:space="preserve">)   </v>
      </c>
      <c r="O86" s="194" t="s">
        <v>38</v>
      </c>
      <c r="P86" s="207">
        <f>D86</f>
        <v>0</v>
      </c>
      <c r="Q86" s="207">
        <f>E86</f>
        <v>0</v>
      </c>
      <c r="R86" s="300" t="str">
        <f t="shared" ca="1" si="17"/>
        <v/>
      </c>
      <c r="S86" s="304"/>
      <c r="T86" s="369"/>
      <c r="U86" s="206">
        <f ca="1">IF(OR(AC$8=0,SUM(Z87:AC87)=0),1,IF(L86="l","",SUM(AB87:AC87)))</f>
        <v>1</v>
      </c>
      <c r="V86" s="387"/>
      <c r="W86" s="50"/>
      <c r="Z86"/>
    </row>
    <row r="87" spans="3:29" ht="15" customHeight="1" x14ac:dyDescent="0.15">
      <c r="C87" s="186"/>
      <c r="D87" s="205"/>
      <c r="E87" s="188"/>
      <c r="F87" s="226"/>
      <c r="G87" s="296" t="str">
        <f ca="1">IF(L87="b","",IF(L87="l",0,FIXED(F87,K87,0)&amp;M87))</f>
        <v/>
      </c>
      <c r="H87" s="187"/>
      <c r="I87" s="189"/>
      <c r="K87" s="215"/>
      <c r="L87" t="str">
        <f t="shared" ca="1" si="15"/>
        <v>b</v>
      </c>
      <c r="M87" t="str">
        <f>REPT(" ",3-K87)&amp;IF(K87=0," ","")</f>
        <v xml:space="preserve">    </v>
      </c>
      <c r="O87" s="194"/>
      <c r="P87" s="208">
        <f>IF(ISNUMBER(D87),LOOKUP(D87,$AB$5:$AC$7),D87)</f>
        <v>0</v>
      </c>
      <c r="Q87" s="208">
        <f>E87</f>
        <v>0</v>
      </c>
      <c r="R87" s="301" t="str">
        <f t="shared" ca="1" si="17"/>
        <v/>
      </c>
      <c r="S87" s="305">
        <f>H87</f>
        <v>0</v>
      </c>
      <c r="T87" s="370"/>
      <c r="U87" s="216">
        <f ca="1">IF(L87="l","",IF(D87+F87&gt;0,SUM(Z87:AA87),-1))</f>
        <v>-1</v>
      </c>
      <c r="V87" s="418"/>
      <c r="W87" s="107"/>
      <c r="Z87" s="114">
        <f>IF(D87&gt;0,0,TRUNC(F87*T87+Y87*X87))</f>
        <v>0</v>
      </c>
      <c r="AA87" t="b">
        <f>IF($D87=1,SUM(Z$13:Z85)-SUM(AA$13:AA85),IF($D87=2,$AA$6,IF($D87=3,TRUNC($AA$6,-3))))</f>
        <v>0</v>
      </c>
      <c r="AB87">
        <f ca="1">IF(OR(AC$8=0,L86="l",D87&gt;0,U87=-1),0,IF(L86="b",-U87,TRUNC(F86*T87)))</f>
        <v>0</v>
      </c>
      <c r="AC87" t="b">
        <f>IF($D87=1,SUM(AB$13:AB85)-SUM(AC$13:AC85),IF($D87=2,$AA$5,IF($D87=3,TRUNC($AA$5,-3))))</f>
        <v>0</v>
      </c>
    </row>
    <row r="88" spans="3:29" ht="15" customHeight="1" x14ac:dyDescent="0.15">
      <c r="C88" s="182"/>
      <c r="D88" s="210"/>
      <c r="E88" s="184"/>
      <c r="F88" s="227"/>
      <c r="G88" s="297" t="str">
        <f ca="1">IF(OR(AC$8=0,L88="b"),"",IF(L88="l",0,"("&amp;FIXED(-F88,K89,0)&amp;M88))</f>
        <v/>
      </c>
      <c r="H88" s="183"/>
      <c r="I88" s="185"/>
      <c r="L88" t="str">
        <f t="shared" ca="1" si="15"/>
        <v>b</v>
      </c>
      <c r="M88" t="str">
        <f>")"&amp;REPT(" ",2-K89)&amp;IF(K89=0," ","")</f>
        <v xml:space="preserve">)   </v>
      </c>
      <c r="O88" s="194"/>
      <c r="P88" s="207">
        <f>D88</f>
        <v>0</v>
      </c>
      <c r="Q88" s="207">
        <f>E88</f>
        <v>0</v>
      </c>
      <c r="R88" s="300" t="str">
        <f t="shared" ca="1" si="17"/>
        <v/>
      </c>
      <c r="S88" s="304"/>
      <c r="T88" s="369"/>
      <c r="U88" s="206">
        <f ca="1">IF(OR(AC$8=0,SUM(Z89:AC89)=0),1,IF(L88="l","",SUM(AB89:AC89)))</f>
        <v>1</v>
      </c>
      <c r="V88" s="387"/>
      <c r="W88" s="50"/>
      <c r="Z88"/>
    </row>
    <row r="89" spans="3:29" ht="15" customHeight="1" x14ac:dyDescent="0.15">
      <c r="C89" s="186"/>
      <c r="D89" s="205">
        <v>1</v>
      </c>
      <c r="E89" s="188"/>
      <c r="F89" s="226"/>
      <c r="G89" s="296" t="str">
        <f ca="1">IF(L89="b","",IF(L89="l",0,FIXED(F89,K89,0)&amp;M89))</f>
        <v/>
      </c>
      <c r="H89" s="187"/>
      <c r="I89" s="189"/>
      <c r="K89" s="215"/>
      <c r="L89" t="str">
        <f t="shared" ca="1" si="15"/>
        <v>b</v>
      </c>
      <c r="M89" t="str">
        <f>REPT(" ",3-K89)&amp;IF(K89=0," ","")</f>
        <v xml:space="preserve">    </v>
      </c>
      <c r="O89" s="194"/>
      <c r="P89" s="208" t="str">
        <f>IF(ISNUMBER(D89),LOOKUP(D89,$AB$5:$AC$7),D89)</f>
        <v>小    　計</v>
      </c>
      <c r="Q89" s="208">
        <f t="shared" ref="Q89:Q95" si="18">E89</f>
        <v>0</v>
      </c>
      <c r="R89" s="301" t="str">
        <f t="shared" ca="1" si="17"/>
        <v/>
      </c>
      <c r="S89" s="305">
        <f>H89</f>
        <v>0</v>
      </c>
      <c r="T89" s="370"/>
      <c r="U89" s="216">
        <f ca="1">IF(L89="l","",IF(D89+F89&gt;0,SUM(Z89:AA89),-1))</f>
        <v>144587</v>
      </c>
      <c r="V89" s="418"/>
      <c r="W89" s="107"/>
      <c r="Z89" s="114">
        <f>IF(D89&gt;0,0,TRUNC(F89*T89+Y89*X89))</f>
        <v>0</v>
      </c>
      <c r="AA89">
        <f>IF($D89=1,SUM(Z$13:Z87)-SUM(AA$13:AA87),IF($D89=2,$AA$6,IF($D89=3,TRUNC($AA$6,-3))))</f>
        <v>144587</v>
      </c>
      <c r="AB89">
        <f ca="1">IF(OR(AC$8=0,L88="l",D89&gt;0,U89=-1),0,IF(L88="b",-U89,TRUNC(F88*T89)))</f>
        <v>0</v>
      </c>
      <c r="AC89">
        <f ca="1">IF($D89=1,SUM(AB$13:AB87)-SUM(AC$13:AC87),IF($D89=2,$AA$5,IF($D89=3,TRUNC($AA$5,-3))))</f>
        <v>0</v>
      </c>
    </row>
    <row r="90" spans="3:29" ht="15" customHeight="1" x14ac:dyDescent="0.15">
      <c r="C90" s="182"/>
      <c r="D90" s="210"/>
      <c r="E90" s="184"/>
      <c r="F90" s="227"/>
      <c r="G90" s="297" t="str">
        <f ca="1">IF(OR(AC$8=0,L90="b"),"",IF(L90="l",0,"("&amp;FIXED(-F90,K91,0)&amp;M90))</f>
        <v/>
      </c>
      <c r="H90" s="183"/>
      <c r="I90" s="185"/>
      <c r="L90" t="str">
        <f t="shared" ca="1" si="15"/>
        <v>b</v>
      </c>
      <c r="M90" t="str">
        <f>")"&amp;REPT(" ",2-K91)&amp;IF(K91=0," ","")</f>
        <v xml:space="preserve">)   </v>
      </c>
      <c r="O90" s="194"/>
      <c r="P90" s="207">
        <f>D90</f>
        <v>0</v>
      </c>
      <c r="Q90" s="207">
        <f t="shared" si="18"/>
        <v>0</v>
      </c>
      <c r="R90" s="300" t="str">
        <f t="shared" ca="1" si="17"/>
        <v/>
      </c>
      <c r="S90" s="304"/>
      <c r="T90" s="369"/>
      <c r="U90" s="206">
        <f ca="1">IF(OR(AC$8=0,SUM(Z91:AC91)=0),1,IF(L90="l","",SUM(AB91:AC91)))</f>
        <v>1</v>
      </c>
      <c r="V90" s="387"/>
      <c r="W90" s="50"/>
      <c r="Z90"/>
    </row>
    <row r="91" spans="3:29" ht="15" customHeight="1" x14ac:dyDescent="0.15">
      <c r="C91" s="186" t="s">
        <v>44</v>
      </c>
      <c r="D91" s="187" t="s">
        <v>403</v>
      </c>
      <c r="E91" s="188" t="s">
        <v>679</v>
      </c>
      <c r="F91" s="226">
        <v>1</v>
      </c>
      <c r="G91" s="296" t="str">
        <f ca="1">IF(L91="b","",IF(L91="l",0,FIXED(F91,K91,0)&amp;M91))</f>
        <v xml:space="preserve">1    </v>
      </c>
      <c r="H91" s="187" t="s">
        <v>231</v>
      </c>
      <c r="I91" s="189"/>
      <c r="K91" s="215"/>
      <c r="L91" t="str">
        <f t="shared" ca="1" si="15"/>
        <v>v</v>
      </c>
      <c r="M91" t="str">
        <f>REPT(" ",3-K91)&amp;IF(K91=0," ","")</f>
        <v xml:space="preserve">    </v>
      </c>
      <c r="O91" s="194"/>
      <c r="P91" s="208" t="str">
        <f>IF(ISNUMBER(D91),LOOKUP(D91,$AB$5:$AC$7),D91)</f>
        <v>コンクリート柱</v>
      </c>
      <c r="Q91" s="208" t="str">
        <f t="shared" si="18"/>
        <v>10m-19cm-350kg</v>
      </c>
      <c r="R91" s="301" t="str">
        <f t="shared" ca="1" si="17"/>
        <v xml:space="preserve">1    </v>
      </c>
      <c r="S91" s="305" t="str">
        <f>H91</f>
        <v>本</v>
      </c>
      <c r="T91" s="370">
        <v>37000</v>
      </c>
      <c r="U91" s="216">
        <f ca="1">IF(L91="l","",IF(D91+F91&gt;0,SUM(Z91:AA91),-1))</f>
        <v>37000</v>
      </c>
      <c r="V91" s="388">
        <v>201</v>
      </c>
      <c r="W91" s="107"/>
      <c r="Z91" s="114">
        <f>IF(D91&gt;0,0,TRUNC(F91*T91))</f>
        <v>37000</v>
      </c>
      <c r="AA91" t="b">
        <f>IF($D91=1,SUM(Z$13:Z89)-SUM(AA$13:AA89),IF($D91=2,$AA$6,IF($D91=3,TRUNC($AA$6,-3))))</f>
        <v>0</v>
      </c>
      <c r="AB91">
        <f ca="1">IF(OR(AC$8=0,L90="l",D91&gt;0,U91=-1),0,IF(L90="b",-U91,TRUNC(F90*T91)))</f>
        <v>0</v>
      </c>
      <c r="AC91" t="b">
        <f>IF($D91=1,SUM(AB$13:AB89)-SUM(AC$13:AC89),IF($D91=2,$AA$5,IF($D91=3,TRUNC($AA$5,-3))))</f>
        <v>0</v>
      </c>
    </row>
    <row r="92" spans="3:29" ht="15" customHeight="1" x14ac:dyDescent="0.15">
      <c r="C92" s="182"/>
      <c r="D92" s="210"/>
      <c r="E92" s="184"/>
      <c r="F92" s="227"/>
      <c r="G92" s="297" t="str">
        <f ca="1">IF(OR(AC$8=0,L92="b"),"",IF(L92="l",0,"("&amp;FIXED(-F92,K93,0)&amp;M92))</f>
        <v/>
      </c>
      <c r="H92" s="183"/>
      <c r="I92" s="185"/>
      <c r="L92" t="str">
        <f t="shared" ca="1" si="15"/>
        <v>b</v>
      </c>
      <c r="M92" t="str">
        <f>")"&amp;REPT(" ",2-K93)&amp;IF(K93=0," ","")</f>
        <v xml:space="preserve">)   </v>
      </c>
      <c r="O92" s="194" t="s">
        <v>486</v>
      </c>
      <c r="P92" s="207">
        <f>D92</f>
        <v>0</v>
      </c>
      <c r="Q92" s="207">
        <f t="shared" si="18"/>
        <v>0</v>
      </c>
      <c r="R92" s="300" t="str">
        <f t="shared" ca="1" si="17"/>
        <v/>
      </c>
      <c r="S92" s="304"/>
      <c r="T92" s="369"/>
      <c r="U92" s="206">
        <f ca="1">IF(OR(AC$8=0,SUM(Z93:AC93)=0),1,IF(L92="l","",SUM(AB93:AC93)))</f>
        <v>1</v>
      </c>
      <c r="V92" s="387"/>
      <c r="W92" s="50" t="str">
        <f ca="1">IF(OR(AC$8=0,SUM(Z93:AC93)=0),"",CONCATENATE("(",FIXED(-#REF!,0),")"))</f>
        <v/>
      </c>
      <c r="Z92"/>
    </row>
    <row r="93" spans="3:29" ht="15" customHeight="1" x14ac:dyDescent="0.15">
      <c r="C93" s="186"/>
      <c r="D93" s="205" t="s">
        <v>407</v>
      </c>
      <c r="E93" s="188" t="s">
        <v>408</v>
      </c>
      <c r="F93" s="226">
        <v>1</v>
      </c>
      <c r="G93" s="296" t="str">
        <f ca="1">IF(L93="b","",IF(L93="l",0,FIXED(F93,K93,0)&amp;M93))</f>
        <v xml:space="preserve">1    </v>
      </c>
      <c r="H93" s="187" t="s">
        <v>340</v>
      </c>
      <c r="I93" s="189"/>
      <c r="K93" s="215"/>
      <c r="L93" t="str">
        <f t="shared" ca="1" si="15"/>
        <v>v</v>
      </c>
      <c r="M93" t="str">
        <f>REPT(" ",3-K93)&amp;IF(K93=0," ","")</f>
        <v xml:space="preserve">    </v>
      </c>
      <c r="O93" s="194"/>
      <c r="P93" s="208" t="str">
        <f>IF(ISNUMBER(D93),LOOKUP(D93,$AB$5:$AC$7),D93)</f>
        <v>根　　か　　せ</v>
      </c>
      <c r="Q93" s="208" t="str">
        <f t="shared" si="18"/>
        <v>Ｂ型　バンド付</v>
      </c>
      <c r="R93" s="301" t="str">
        <f t="shared" ca="1" si="17"/>
        <v xml:space="preserve">1    </v>
      </c>
      <c r="S93" s="305" t="str">
        <f>H93</f>
        <v>組</v>
      </c>
      <c r="T93" s="370">
        <v>3600</v>
      </c>
      <c r="U93" s="216">
        <f ca="1">IF(L93="l","",IF(D93+F93&gt;0,SUM(Z93:AA93),-1))</f>
        <v>3600</v>
      </c>
      <c r="V93" s="388">
        <v>202</v>
      </c>
      <c r="W93" s="107"/>
      <c r="Z93" s="114">
        <f>IF(D93&gt;0,0,TRUNC(F93*T93+Y93*X93))</f>
        <v>3600</v>
      </c>
      <c r="AA93" t="b">
        <f>IF($D93=1,SUM(Z$13:Z91)-SUM(AA$13:AA91),IF($D93=2,$AA$6,IF($D93=3,TRUNC($AA$6,-3))))</f>
        <v>0</v>
      </c>
      <c r="AB93">
        <f ca="1">IF(OR(AC$8=0,L92="l",D93&gt;0,U93=-1),0,IF(L92="b",-U93,TRUNC(F92*T93)))</f>
        <v>0</v>
      </c>
      <c r="AC93" t="b">
        <f>IF($D93=1,SUM(AB$13:AB91)-SUM(AC$13:AC91),IF($D93=2,$AA$5,IF($D93=3,TRUNC($AA$5,-3))))</f>
        <v>0</v>
      </c>
    </row>
    <row r="94" spans="3:29" ht="15" customHeight="1" x14ac:dyDescent="0.15">
      <c r="C94" s="182"/>
      <c r="D94" s="210"/>
      <c r="E94" s="184"/>
      <c r="F94" s="227"/>
      <c r="G94" s="297" t="str">
        <f ca="1">IF(OR(AC$8=0,L94="b"),"",IF(L94="l",0,"("&amp;FIXED(-F94,K95,0)&amp;M94))</f>
        <v/>
      </c>
      <c r="H94" s="183"/>
      <c r="I94" s="185"/>
      <c r="L94" t="str">
        <f t="shared" ca="1" si="15"/>
        <v>b</v>
      </c>
      <c r="M94" t="str">
        <f>")"&amp;REPT(" ",2-K95)&amp;IF(K95=0," ","")</f>
        <v xml:space="preserve">)   </v>
      </c>
      <c r="O94" s="194"/>
      <c r="P94" s="207">
        <f>D94</f>
        <v>0</v>
      </c>
      <c r="Q94" s="207">
        <f t="shared" si="18"/>
        <v>0</v>
      </c>
      <c r="R94" s="300" t="str">
        <f t="shared" ca="1" si="17"/>
        <v/>
      </c>
      <c r="S94" s="304"/>
      <c r="T94" s="369"/>
      <c r="U94" s="206">
        <f ca="1">IF(OR(AC$8=0,SUM(Z95:AC95)=0),1,IF(L94="l","",SUM(AB95:AC95)))</f>
        <v>1</v>
      </c>
      <c r="V94" s="387"/>
      <c r="W94" s="50"/>
      <c r="Z94"/>
    </row>
    <row r="95" spans="3:29" ht="15" customHeight="1" x14ac:dyDescent="0.15">
      <c r="C95" s="186"/>
      <c r="D95" s="205" t="s">
        <v>479</v>
      </c>
      <c r="E95" s="188" t="s">
        <v>533</v>
      </c>
      <c r="F95" s="226">
        <v>1</v>
      </c>
      <c r="G95" s="296" t="str">
        <f ca="1">IF(L95="b","",IF(L95="l",0,FIXED(F95,K95,0)&amp;M95))</f>
        <v xml:space="preserve">1    </v>
      </c>
      <c r="H95" s="187" t="s">
        <v>252</v>
      </c>
      <c r="I95" s="189"/>
      <c r="K95" s="215"/>
      <c r="L95" t="str">
        <f t="shared" ca="1" si="15"/>
        <v>v</v>
      </c>
      <c r="M95" t="str">
        <f>REPT(" ",3-K95)&amp;IF(K95=0," ","")</f>
        <v xml:space="preserve">    </v>
      </c>
      <c r="O95" s="194"/>
      <c r="P95" s="208" t="str">
        <f>IF(ISNUMBER(D95),LOOKUP(D95,$AB$5:$AC$7),D95)</f>
        <v>ポ ー ル 底 版</v>
      </c>
      <c r="Q95" s="208" t="str">
        <f t="shared" si="18"/>
        <v>丸型 №1  φ450㎜</v>
      </c>
      <c r="R95" s="301" t="str">
        <f t="shared" ca="1" si="17"/>
        <v xml:space="preserve">1    </v>
      </c>
      <c r="S95" s="305" t="str">
        <f>H95</f>
        <v>個</v>
      </c>
      <c r="T95" s="370">
        <v>1520</v>
      </c>
      <c r="U95" s="216">
        <f ca="1">IF(L95="l","",IF(D95+F95&gt;0,SUM(Z95:AA95),-1))</f>
        <v>1520</v>
      </c>
      <c r="V95" s="388">
        <v>208</v>
      </c>
      <c r="W95" s="107"/>
      <c r="Z95" s="114">
        <f>IF(D95&gt;0,0,TRUNC(F95*T95+Y95*X95))</f>
        <v>1520</v>
      </c>
      <c r="AA95" t="b">
        <f>IF($D95=1,SUM(Z$13:Z93)-SUM(AA$13:AA93),IF($D95=2,$AA$6,IF($D95=3,TRUNC($AA$6,-3))))</f>
        <v>0</v>
      </c>
      <c r="AB95">
        <f ca="1">IF(OR(AC$8=0,L94="l",D95&gt;0,U95=-1),0,IF(L94="b",-U95,TRUNC(F94*T95)))</f>
        <v>0</v>
      </c>
      <c r="AC95" t="b">
        <f>IF($D95=1,SUM(AB$13:AB93)-SUM(AC$13:AC93),IF($D95=2,$AA$5,IF($D95=3,TRUNC($AA$5,-3))))</f>
        <v>0</v>
      </c>
    </row>
    <row r="96" spans="3:29" ht="15" customHeight="1" x14ac:dyDescent="0.15">
      <c r="C96" s="182"/>
      <c r="D96" s="210"/>
      <c r="E96" s="184"/>
      <c r="F96" s="227"/>
      <c r="G96" s="297" t="str">
        <f ca="1">IF(OR(AC$8=0,L96="b"),"",IF(L96="l",0,"("&amp;FIXED(-F96,K97,0)&amp;M96))</f>
        <v/>
      </c>
      <c r="H96" s="183"/>
      <c r="I96" s="185"/>
      <c r="L96" t="str">
        <f t="shared" ref="L96:L103" ca="1" si="19">CELL("type",F96)</f>
        <v>b</v>
      </c>
      <c r="M96" t="str">
        <f>")"&amp;REPT(" ",2-K97)&amp;IF(K97=0," ","")</f>
        <v xml:space="preserve">)   </v>
      </c>
      <c r="O96" s="194" t="s">
        <v>681</v>
      </c>
      <c r="P96" s="207">
        <f>D96</f>
        <v>0</v>
      </c>
      <c r="Q96" s="207">
        <f>E96</f>
        <v>0</v>
      </c>
      <c r="R96" s="300" t="str">
        <f t="shared" ref="R96:R103" ca="1" si="20">G96</f>
        <v/>
      </c>
      <c r="S96" s="304"/>
      <c r="T96" s="144"/>
      <c r="U96" s="206">
        <f ca="1">IF(OR(AC$8=0,SUM(Z97:AC97)=0),1,IF(L96="l","",SUM(AB97:AC97)))</f>
        <v>1</v>
      </c>
      <c r="V96" s="385"/>
      <c r="W96" s="197"/>
      <c r="Z96"/>
    </row>
    <row r="97" spans="3:29" ht="15" customHeight="1" x14ac:dyDescent="0.15">
      <c r="C97" s="186"/>
      <c r="D97" s="205" t="s">
        <v>680</v>
      </c>
      <c r="E97" s="188"/>
      <c r="F97" s="226">
        <v>2</v>
      </c>
      <c r="G97" s="296" t="str">
        <f ca="1">IF(L97="b","",IF(L97="l",0,FIXED(F97,K97,0)&amp;M97))</f>
        <v xml:space="preserve">2    </v>
      </c>
      <c r="H97" s="187" t="s">
        <v>252</v>
      </c>
      <c r="I97" s="189"/>
      <c r="K97" s="215"/>
      <c r="L97" t="str">
        <f t="shared" ca="1" si="19"/>
        <v>v</v>
      </c>
      <c r="M97" t="str">
        <f>REPT(" ",3-K97)&amp;IF(K97=0," ","")</f>
        <v xml:space="preserve">    </v>
      </c>
      <c r="O97" s="194"/>
      <c r="P97" s="208" t="str">
        <f>IF(ISNUMBER(D97),LOOKUP(D97,$AB$5:$AC$7),D97)</f>
        <v>低 圧 ラ ッ ク</v>
      </c>
      <c r="Q97" s="208">
        <f>E97</f>
        <v>0</v>
      </c>
      <c r="R97" s="301" t="str">
        <f t="shared" ca="1" si="20"/>
        <v xml:space="preserve">2    </v>
      </c>
      <c r="S97" s="305" t="str">
        <f>H97</f>
        <v>個</v>
      </c>
      <c r="T97" s="145">
        <v>182</v>
      </c>
      <c r="U97" s="216">
        <f ca="1">IF(L97="l","",IF(D97+F97&gt;0,SUM(Z97:AA97),-1))</f>
        <v>364</v>
      </c>
      <c r="V97" s="386">
        <v>203</v>
      </c>
      <c r="W97" s="142"/>
      <c r="Z97" s="114">
        <f>IF(D97&gt;0,0,TRUNC(F97*T97+Y97*X97))</f>
        <v>364</v>
      </c>
      <c r="AA97" t="b">
        <f>IF($D97=1,SUM(Z$13:Z95)-SUM(AA$13:AA95),IF($D97=2,$AA$6,IF($D97=3,TRUNC($AA$6,-3))))</f>
        <v>0</v>
      </c>
      <c r="AB97">
        <f ca="1">IF(OR(AC$8=0,L96="l",D97&gt;0,U97=-1),0,IF(L96="b",-U97,TRUNC(F96*T97)))</f>
        <v>0</v>
      </c>
      <c r="AC97" t="b">
        <f>IF($D97=1,SUM(AB$13:AB95)-SUM(AC$13:AC95),IF($D97=2,$AA$5,IF($D97=3,TRUNC($AA$5,-3))))</f>
        <v>0</v>
      </c>
    </row>
    <row r="98" spans="3:29" ht="15" customHeight="1" x14ac:dyDescent="0.15">
      <c r="C98" s="182"/>
      <c r="D98" s="210"/>
      <c r="E98" s="184"/>
      <c r="F98" s="227"/>
      <c r="G98" s="297" t="str">
        <f ca="1">IF(OR(AC$8=0,L98="b"),"",IF(L98="l",0,"("&amp;FIXED(-F98,K99,0)&amp;M98))</f>
        <v/>
      </c>
      <c r="H98" s="183"/>
      <c r="I98" s="185"/>
      <c r="L98" t="str">
        <f t="shared" ca="1" si="19"/>
        <v>b</v>
      </c>
      <c r="M98" t="str">
        <f>")"&amp;REPT(" ",2-K99)&amp;IF(K99=0," ","")</f>
        <v xml:space="preserve">)   </v>
      </c>
      <c r="O98" s="194"/>
      <c r="P98" s="207">
        <f>D98</f>
        <v>0</v>
      </c>
      <c r="Q98" s="207">
        <f>E98</f>
        <v>0</v>
      </c>
      <c r="R98" s="300" t="str">
        <f t="shared" ca="1" si="20"/>
        <v/>
      </c>
      <c r="S98" s="304"/>
      <c r="T98" s="144"/>
      <c r="U98" s="206">
        <f ca="1">IF(OR(AC$8=0,SUM(Z99:AC99)=0),1,IF(L98="l","",SUM(AB99:AC99)))</f>
        <v>1</v>
      </c>
      <c r="V98" s="385"/>
      <c r="W98" s="197"/>
      <c r="Z98"/>
    </row>
    <row r="99" spans="3:29" ht="15" customHeight="1" x14ac:dyDescent="0.15">
      <c r="C99" s="186"/>
      <c r="D99" s="205" t="s">
        <v>409</v>
      </c>
      <c r="E99" s="188" t="s">
        <v>683</v>
      </c>
      <c r="F99" s="226">
        <v>2</v>
      </c>
      <c r="G99" s="296" t="str">
        <f ca="1">IF(L99="b","",IF(L99="l",0,FIXED(F99,K99,0)&amp;M99))</f>
        <v xml:space="preserve">2    </v>
      </c>
      <c r="H99" s="187" t="s">
        <v>74</v>
      </c>
      <c r="I99" s="189"/>
      <c r="K99" s="215"/>
      <c r="L99" t="str">
        <f t="shared" ca="1" si="19"/>
        <v>v</v>
      </c>
      <c r="M99" t="str">
        <f>REPT(" ",3-K99)&amp;IF(K99=0," ","")</f>
        <v xml:space="preserve">    </v>
      </c>
      <c r="O99" s="194"/>
      <c r="P99" s="208" t="str">
        <f>IF(ISNUMBER(D99),LOOKUP(D99,$AB$5:$AC$7),D99)</f>
        <v>自 在 バ ン ド</v>
      </c>
      <c r="Q99" s="208" t="str">
        <f>E99</f>
        <v>IBT-208</v>
      </c>
      <c r="R99" s="301" t="str">
        <f t="shared" ca="1" si="20"/>
        <v xml:space="preserve">2    </v>
      </c>
      <c r="S99" s="305" t="str">
        <f>H99</f>
        <v>本</v>
      </c>
      <c r="T99" s="145">
        <v>378</v>
      </c>
      <c r="U99" s="216">
        <f ca="1">IF(L99="l","",IF(D99+F99&gt;0,SUM(Z99:AA99),-1))</f>
        <v>756</v>
      </c>
      <c r="V99" s="386">
        <v>204</v>
      </c>
      <c r="W99" s="142"/>
      <c r="Y99" s="114"/>
      <c r="Z99" s="114">
        <f>IF(D99&gt;0,0,TRUNC(F99*T99+Y99*X99))</f>
        <v>756</v>
      </c>
      <c r="AA99" t="b">
        <f>IF($D99=1,SUM(Z$13:Z91)-SUM(AA$13:AA91),IF($D99=2,$AA$6,IF($D99=3,TRUNC($AA$6,-3))))</f>
        <v>0</v>
      </c>
      <c r="AB99">
        <f ca="1">IF(OR(AC$8=0,L98="l",D99&gt;0,U99=-1),0,IF(L98="b",-U99,TRUNC(F98*T99)))</f>
        <v>0</v>
      </c>
      <c r="AC99" t="b">
        <f>IF($D99=1,SUM(AB$13:AB91)-SUM(AC$13:AC91),IF($D99=2,$AA$5,IF($D99=3,TRUNC($AA$5,-3))))</f>
        <v>0</v>
      </c>
    </row>
    <row r="100" spans="3:29" ht="15" customHeight="1" x14ac:dyDescent="0.15">
      <c r="C100" s="182"/>
      <c r="D100" s="210"/>
      <c r="E100" s="184"/>
      <c r="F100" s="227"/>
      <c r="G100" s="297" t="str">
        <f ca="1">IF(OR(AC$8=0,L100="b"),"",IF(L100="l",0,"("&amp;FIXED(-F100,K101,0)&amp;M100))</f>
        <v/>
      </c>
      <c r="H100" s="183"/>
      <c r="I100" s="185"/>
      <c r="L100" t="str">
        <f t="shared" ca="1" si="19"/>
        <v>b</v>
      </c>
      <c r="M100" t="str">
        <f>")"&amp;REPT(" ",2-K101)&amp;IF(K101=0," ","")</f>
        <v xml:space="preserve">)   </v>
      </c>
      <c r="O100" s="194" t="s">
        <v>253</v>
      </c>
      <c r="P100" s="207">
        <f>D100</f>
        <v>0</v>
      </c>
      <c r="Q100" s="207">
        <f>E100</f>
        <v>0</v>
      </c>
      <c r="R100" s="300" t="str">
        <f t="shared" ca="1" si="20"/>
        <v/>
      </c>
      <c r="S100" s="304"/>
      <c r="T100" s="369"/>
      <c r="U100" s="206">
        <f ca="1">IF(OR(AC$8=0,SUM(Z101:AC101)=0),1,IF(L100="l","",SUM(AB101:AC101)))</f>
        <v>1</v>
      </c>
      <c r="V100" s="387"/>
      <c r="W100" s="50"/>
      <c r="Z100"/>
    </row>
    <row r="101" spans="3:29" ht="15" customHeight="1" x14ac:dyDescent="0.15">
      <c r="C101" s="186"/>
      <c r="D101" s="205" t="s">
        <v>236</v>
      </c>
      <c r="E101" s="188" t="s">
        <v>410</v>
      </c>
      <c r="F101" s="226">
        <v>5</v>
      </c>
      <c r="G101" s="296" t="str">
        <f ca="1">IF(L101="b","",IF(L101="l",0,FIXED(F101,K101,0)&amp;M101))</f>
        <v xml:space="preserve">5    </v>
      </c>
      <c r="H101" s="187" t="s">
        <v>74</v>
      </c>
      <c r="I101" s="189"/>
      <c r="K101" s="215"/>
      <c r="L101" t="str">
        <f t="shared" ca="1" si="19"/>
        <v>v</v>
      </c>
      <c r="M101" t="str">
        <f>REPT(" ",3-K101)&amp;IF(K101=0," ","")</f>
        <v xml:space="preserve">    </v>
      </c>
      <c r="O101" s="194"/>
      <c r="P101" s="208" t="str">
        <f>IF(ISNUMBER(D101),LOOKUP(D101,$AB$5:$AC$7),D101)</f>
        <v>〃</v>
      </c>
      <c r="Q101" s="208" t="str">
        <f t="shared" ref="Q101:Q108" si="21">E101</f>
        <v>IBT-212</v>
      </c>
      <c r="R101" s="301" t="str">
        <f t="shared" ca="1" si="20"/>
        <v xml:space="preserve">5    </v>
      </c>
      <c r="S101" s="305" t="str">
        <f>H101</f>
        <v>本</v>
      </c>
      <c r="T101" s="370">
        <v>430</v>
      </c>
      <c r="U101" s="216">
        <f ca="1">IF(L101="l","",IF(D101+F101&gt;0,SUM(Z101:AA101),-1))</f>
        <v>2150</v>
      </c>
      <c r="V101" s="418">
        <v>205</v>
      </c>
      <c r="W101" s="107"/>
      <c r="Z101" s="114">
        <f>IF(D101&gt;0,0,TRUNC(F101*T101+Y101*X101))</f>
        <v>2150</v>
      </c>
      <c r="AA101" t="b">
        <f>IF($D101=1,SUM(Z$13:Z99)-SUM(AA$13:AA99),IF($D101=2,$AA$6,IF($D101=3,TRUNC($AA$6,-3))))</f>
        <v>0</v>
      </c>
      <c r="AB101">
        <f ca="1">IF(OR(AC$8=0,L100="l",D101&gt;0,U101=-1),0,IF(L100="b",-U101,TRUNC(F100*T101)))</f>
        <v>0</v>
      </c>
      <c r="AC101" t="b">
        <f>IF($D101=1,SUM(AB$13:AB99)-SUM(AC$13:AC99),IF($D101=2,$AA$5,IF($D101=3,TRUNC($AA$5,-3))))</f>
        <v>0</v>
      </c>
    </row>
    <row r="102" spans="3:29" ht="15" customHeight="1" x14ac:dyDescent="0.15">
      <c r="C102" s="182"/>
      <c r="D102" s="210"/>
      <c r="E102" s="184"/>
      <c r="F102" s="227"/>
      <c r="G102" s="297" t="str">
        <f ca="1">IF(OR(AC$8=0,L102="b"),"",IF(L102="l",0,"("&amp;FIXED(-F102,K103,0)&amp;M102))</f>
        <v/>
      </c>
      <c r="H102" s="183"/>
      <c r="I102" s="185"/>
      <c r="L102" t="str">
        <f t="shared" ca="1" si="19"/>
        <v>b</v>
      </c>
      <c r="M102" t="str">
        <f>")"&amp;REPT(" ",2-K103)&amp;IF(K103=0," ","")</f>
        <v xml:space="preserve">)   </v>
      </c>
      <c r="O102" s="194"/>
      <c r="P102" s="255">
        <f>D102</f>
        <v>0</v>
      </c>
      <c r="Q102" s="207">
        <f t="shared" si="21"/>
        <v>0</v>
      </c>
      <c r="R102" s="300" t="str">
        <f t="shared" ca="1" si="20"/>
        <v/>
      </c>
      <c r="S102" s="304"/>
      <c r="T102" s="144"/>
      <c r="U102" s="206">
        <f ca="1">IF(OR(AC$8=0,SUM(Z103:AC103)=0),1,IF(L102="l","",SUM(AB103:AC103)))</f>
        <v>1</v>
      </c>
      <c r="V102" s="385"/>
      <c r="W102" s="50"/>
      <c r="Z102"/>
    </row>
    <row r="103" spans="3:29" ht="15" customHeight="1" x14ac:dyDescent="0.15">
      <c r="C103" s="186"/>
      <c r="D103" s="205" t="s">
        <v>411</v>
      </c>
      <c r="E103" s="188" t="s">
        <v>412</v>
      </c>
      <c r="F103" s="226">
        <v>10</v>
      </c>
      <c r="G103" s="296" t="str">
        <f ca="1">IF(L103="b","",IF(L103="l",0,FIXED(F103,K103,0)&amp;M103))</f>
        <v xml:space="preserve">10    </v>
      </c>
      <c r="H103" s="187" t="s">
        <v>74</v>
      </c>
      <c r="I103" s="189"/>
      <c r="K103" s="215"/>
      <c r="L103" t="str">
        <f t="shared" ca="1" si="19"/>
        <v>v</v>
      </c>
      <c r="M103" t="str">
        <f>REPT(" ",3-K103)&amp;IF(K103=0," ","")</f>
        <v xml:space="preserve">    </v>
      </c>
      <c r="O103" s="194"/>
      <c r="P103" s="208" t="str">
        <f>IF(ISNUMBER(D103),LOOKUP(D103,$AB$5:$AC$7),D103)</f>
        <v>足 場 ボ ル ト</v>
      </c>
      <c r="Q103" s="208" t="str">
        <f t="shared" si="21"/>
        <v>CP用</v>
      </c>
      <c r="R103" s="301" t="str">
        <f t="shared" ca="1" si="20"/>
        <v xml:space="preserve">10    </v>
      </c>
      <c r="S103" s="305" t="str">
        <f>H103</f>
        <v>本</v>
      </c>
      <c r="T103" s="145">
        <v>148</v>
      </c>
      <c r="U103" s="216">
        <f ca="1">IF(L103="l","",IF(D103+F103&gt;0,SUM(Z103:AA103),-1))</f>
        <v>1480</v>
      </c>
      <c r="V103" s="386">
        <v>207</v>
      </c>
      <c r="W103" s="107"/>
      <c r="Z103" s="114">
        <f>IF(D103&gt;0,0,TRUNC(F103*T103+Y103*X103))</f>
        <v>1480</v>
      </c>
      <c r="AA103" t="b">
        <f>IF($D103=1,SUM(Z$13:Z101)-SUM(AA$13:AA101),IF($D103=2,$AA$6,IF($D103=3,TRUNC($AA$6,-3))))</f>
        <v>0</v>
      </c>
      <c r="AB103">
        <f ca="1">IF(OR(AC$8=0,L102="l",D103&gt;0,U103=-1),0,IF(L102="b",-U103,TRUNC(F102*T103)))</f>
        <v>0</v>
      </c>
      <c r="AC103" t="b">
        <f>IF($D103=1,SUM(AB$13:AB101)-SUM(AC$13:AC101),IF($D103=2,$AA$5,IF($D103=3,TRUNC($AA$5,-3))))</f>
        <v>0</v>
      </c>
    </row>
    <row r="104" spans="3:29" ht="15" customHeight="1" x14ac:dyDescent="0.15">
      <c r="C104" s="182"/>
      <c r="D104" s="210"/>
      <c r="E104" s="184"/>
      <c r="F104" s="227"/>
      <c r="G104" s="297" t="str">
        <f ca="1">IF(OR(AC$8=0,L104="b"),"",IF(L104="l",0,"("&amp;FIXED(-F104,K105,0)&amp;M104))</f>
        <v/>
      </c>
      <c r="H104" s="183"/>
      <c r="I104" s="185"/>
      <c r="L104" t="str">
        <f t="shared" ref="L104:L141" ca="1" si="22">CELL("type",F104)</f>
        <v>b</v>
      </c>
      <c r="M104" t="str">
        <f>")"&amp;REPT(" ",2-K105)&amp;IF(K105=0," ","")</f>
        <v xml:space="preserve">)   </v>
      </c>
      <c r="O104" s="194"/>
      <c r="P104" s="207">
        <f>D104</f>
        <v>0</v>
      </c>
      <c r="Q104" s="207">
        <f t="shared" si="21"/>
        <v>0</v>
      </c>
      <c r="R104" s="300" t="str">
        <f t="shared" ref="R104:R141" ca="1" si="23">G104</f>
        <v/>
      </c>
      <c r="S104" s="304"/>
      <c r="T104" s="144"/>
      <c r="U104" s="206">
        <f ca="1">IF(OR(AC$8=0,SUM(Z105:AC105)=0),1,IF(L104="l","",SUM(AB105:AC105)))</f>
        <v>1</v>
      </c>
      <c r="V104" s="385"/>
      <c r="W104" s="50"/>
      <c r="Z104"/>
    </row>
    <row r="105" spans="3:29" ht="15" customHeight="1" x14ac:dyDescent="0.15">
      <c r="C105" s="186"/>
      <c r="D105" s="205"/>
      <c r="E105" s="188"/>
      <c r="F105" s="226"/>
      <c r="G105" s="296" t="str">
        <f ca="1">IF(L105="b","",IF(L105="l",0,FIXED(F105,K105,0)&amp;M105))</f>
        <v/>
      </c>
      <c r="H105" s="187"/>
      <c r="I105" s="189"/>
      <c r="K105" s="215"/>
      <c r="L105" t="str">
        <f t="shared" ca="1" si="22"/>
        <v>b</v>
      </c>
      <c r="M105" t="str">
        <f>REPT(" ",3-K105)&amp;IF(K105=0," ","")</f>
        <v xml:space="preserve">    </v>
      </c>
      <c r="O105" s="194"/>
      <c r="P105" s="208">
        <f>IF(ISNUMBER(D105),LOOKUP(D105,$AB$5:$AC$7),D105)</f>
        <v>0</v>
      </c>
      <c r="Q105" s="208">
        <f t="shared" si="21"/>
        <v>0</v>
      </c>
      <c r="R105" s="301" t="str">
        <f t="shared" ca="1" si="23"/>
        <v/>
      </c>
      <c r="S105" s="305">
        <f>H105</f>
        <v>0</v>
      </c>
      <c r="T105" s="145"/>
      <c r="U105" s="216">
        <f ca="1">IF(L105="l","",IF(D105+F105&gt;0,SUM(Z105:AA105),-1))</f>
        <v>-1</v>
      </c>
      <c r="V105" s="386"/>
      <c r="W105" s="107"/>
      <c r="Z105" s="114">
        <f>IF(D105&gt;0,0,TRUNC(F105*T105))</f>
        <v>0</v>
      </c>
      <c r="AA105" t="b">
        <f>IF($D105=1,SUM(Z$13:Z103)-SUM(AA$13:AA103),IF($D105=2,$AA$6,IF($D105=3,TRUNC($AA$6,-3))))</f>
        <v>0</v>
      </c>
      <c r="AB105">
        <f ca="1">IF(OR(AC$8=0,L104="l",D105&gt;0,U105=-1),0,IF(L104="b",-U105,TRUNC(F104*T105)))</f>
        <v>0</v>
      </c>
      <c r="AC105" t="b">
        <f>IF($D105=1,SUM(AB$13:AB103)-SUM(AC$13:AC103),IF($D105=2,$AA$5,IF($D105=3,TRUNC($AA$5,-3))))</f>
        <v>0</v>
      </c>
    </row>
    <row r="106" spans="3:29" ht="15" customHeight="1" x14ac:dyDescent="0.15">
      <c r="C106" s="182"/>
      <c r="D106" s="210"/>
      <c r="E106" s="184"/>
      <c r="F106" s="227"/>
      <c r="G106" s="297" t="str">
        <f ca="1">IF(OR(AC$8=0,L106="b"),"",IF(L106="l",0,"("&amp;FIXED(-F106,K107,0)&amp;M106))</f>
        <v/>
      </c>
      <c r="H106" s="183"/>
      <c r="I106" s="185"/>
      <c r="L106" t="str">
        <f t="shared" ca="1" si="22"/>
        <v>b</v>
      </c>
      <c r="M106" t="str">
        <f>")"&amp;REPT(" ",2-K107)&amp;IF(K107=0," ","")</f>
        <v xml:space="preserve">)   </v>
      </c>
      <c r="O106" s="194"/>
      <c r="P106" s="207">
        <f>D106</f>
        <v>0</v>
      </c>
      <c r="Q106" s="207">
        <f t="shared" si="21"/>
        <v>0</v>
      </c>
      <c r="R106" s="300" t="str">
        <f t="shared" ca="1" si="23"/>
        <v/>
      </c>
      <c r="S106" s="304"/>
      <c r="T106" s="369"/>
      <c r="U106" s="206">
        <f ca="1">IF(OR(AC$8=0,SUM(Z107:AC107)=0),1,IF(L106="l","",SUM(AB107:AC107)))</f>
        <v>1</v>
      </c>
      <c r="V106" s="387"/>
      <c r="W106" s="50"/>
      <c r="Z106"/>
    </row>
    <row r="107" spans="3:29" ht="15" customHeight="1" x14ac:dyDescent="0.15">
      <c r="C107" s="186"/>
      <c r="D107" s="205">
        <v>1</v>
      </c>
      <c r="E107" s="188"/>
      <c r="F107" s="226"/>
      <c r="G107" s="296" t="str">
        <f ca="1">IF(L107="b","",IF(L107="l",0,FIXED(F107,K107,0)&amp;M107))</f>
        <v/>
      </c>
      <c r="H107" s="187"/>
      <c r="I107" s="189"/>
      <c r="K107" s="215"/>
      <c r="L107" t="str">
        <f t="shared" ca="1" si="22"/>
        <v>b</v>
      </c>
      <c r="M107" t="str">
        <f>REPT(" ",3-K107)&amp;IF(K107=0," ","")</f>
        <v xml:space="preserve">    </v>
      </c>
      <c r="O107" s="194"/>
      <c r="P107" s="208" t="str">
        <f>IF(ISNUMBER(D107),LOOKUP(D107,$AB$5:$AC$7),D107)</f>
        <v>小    　計</v>
      </c>
      <c r="Q107" s="208">
        <f t="shared" si="21"/>
        <v>0</v>
      </c>
      <c r="R107" s="301" t="str">
        <f t="shared" ca="1" si="23"/>
        <v/>
      </c>
      <c r="S107" s="305">
        <f>H107</f>
        <v>0</v>
      </c>
      <c r="T107" s="370"/>
      <c r="U107" s="216">
        <f ca="1">IF(L107="l","",IF(D107+F107&gt;0,SUM(Z107:AA107),-1))</f>
        <v>46870</v>
      </c>
      <c r="V107" s="388"/>
      <c r="W107" s="107"/>
      <c r="Z107" s="114">
        <f>IF(D107&gt;0,0,TRUNC(F107*T107+Y107*X107))</f>
        <v>0</v>
      </c>
      <c r="AA107">
        <f>IF($D107=1,SUM(Z$13:Z105)-SUM(AA$13:AA105),IF($D107=2,$AA$6,IF($D107=3,TRUNC($AA$6,-3))))</f>
        <v>46870</v>
      </c>
      <c r="AB107">
        <f ca="1">IF(OR(AC$8=0,L106="l",D107&gt;0,U107=-1),0,IF(L106="b",-U107,TRUNC(F106*T107)))</f>
        <v>0</v>
      </c>
      <c r="AC107">
        <f ca="1">IF($D107=1,SUM(AB$13:AB105)-SUM(AC$13:AC105),IF($D107=2,$AA$5,IF($D107=3,TRUNC($AA$5,-3))))</f>
        <v>0</v>
      </c>
    </row>
    <row r="108" spans="3:29" ht="15" customHeight="1" x14ac:dyDescent="0.15">
      <c r="C108" s="182"/>
      <c r="D108" s="210"/>
      <c r="E108" s="184"/>
      <c r="F108" s="227"/>
      <c r="G108" s="297" t="str">
        <f ca="1">IF(OR(AC$8=0,L108="b"),"",IF(L108="l",0,"("&amp;FIXED(-F108,K109,0)&amp;M108))</f>
        <v/>
      </c>
      <c r="H108" s="183"/>
      <c r="I108" s="185"/>
      <c r="L108" t="str">
        <f ca="1">CELL("type",F108)</f>
        <v>b</v>
      </c>
      <c r="M108" t="str">
        <f>")"&amp;REPT(" ",2-K109)&amp;IF(K109=0," ","")</f>
        <v xml:space="preserve">)   </v>
      </c>
      <c r="O108" s="194"/>
      <c r="P108" s="207">
        <f>D108</f>
        <v>0</v>
      </c>
      <c r="Q108" s="207">
        <f t="shared" si="21"/>
        <v>0</v>
      </c>
      <c r="R108" s="300" t="str">
        <f ca="1">G108</f>
        <v/>
      </c>
      <c r="S108" s="304"/>
      <c r="T108" s="369"/>
      <c r="U108" s="206">
        <f ca="1">IF(OR(AC$8=0,SUM(Z109:AC109)=0),1,IF(L108="l","",SUM(AB109:AC109)))</f>
        <v>1</v>
      </c>
      <c r="V108" s="387"/>
      <c r="W108" s="50"/>
      <c r="Z108"/>
    </row>
    <row r="109" spans="3:29" ht="15" customHeight="1" x14ac:dyDescent="0.15">
      <c r="C109" s="186" t="s">
        <v>406</v>
      </c>
      <c r="D109" s="205" t="s">
        <v>413</v>
      </c>
      <c r="E109" s="188" t="s">
        <v>536</v>
      </c>
      <c r="F109" s="226">
        <v>1</v>
      </c>
      <c r="G109" s="296" t="str">
        <f ca="1">IF(L109="b","",IF(L109="l",0,FIXED(F109,K109,0)&amp;M109))</f>
        <v xml:space="preserve">1    </v>
      </c>
      <c r="H109" s="187" t="s">
        <v>232</v>
      </c>
      <c r="I109" s="189"/>
      <c r="K109" s="215"/>
      <c r="L109" t="str">
        <f ca="1">CELL("type",F109)</f>
        <v>v</v>
      </c>
      <c r="M109" t="str">
        <f>REPT(" ",3-K109)&amp;IF(K109=0," ","")</f>
        <v xml:space="preserve">    </v>
      </c>
      <c r="O109" s="194"/>
      <c r="P109" s="208" t="str">
        <f>IF(ISNUMBER(D109),LOOKUP(D109,$AB$5:$AC$7),D109)</f>
        <v>ステーブロック</v>
      </c>
      <c r="Q109" s="208" t="str">
        <f t="shared" ref="Q109:Q117" si="24">E109</f>
        <v>1号　ロッド付</v>
      </c>
      <c r="R109" s="301" t="str">
        <f ca="1">G109</f>
        <v xml:space="preserve">1    </v>
      </c>
      <c r="S109" s="305" t="str">
        <f>H109</f>
        <v>個</v>
      </c>
      <c r="T109" s="370">
        <v>4180</v>
      </c>
      <c r="U109" s="216">
        <f ca="1">IF(L109="l","",IF(D109+F109&gt;0,SUM(Z109:AA109),-1))</f>
        <v>4180</v>
      </c>
      <c r="V109" s="388">
        <v>221</v>
      </c>
      <c r="W109" s="107"/>
      <c r="Z109" s="114">
        <f>IF(D109&gt;0,0,TRUNC(F109*T109+Y109*X109))</f>
        <v>4180</v>
      </c>
      <c r="AA109" t="b">
        <f>IF($D109=1,SUM(Z$13:Z107)-SUM(AA$13:AA107),IF($D109=2,$AA$6,IF($D109=3,TRUNC($AA$6,-3))))</f>
        <v>0</v>
      </c>
      <c r="AB109">
        <f ca="1">IF(OR(AC$8=0,L108="l",D109&gt;0,U109=-1),0,IF(L108="b",-U109,TRUNC(F108*T109)))</f>
        <v>0</v>
      </c>
      <c r="AC109" t="b">
        <f>IF($D109=1,SUM(AB$13:AB107)-SUM(AC$13:AC107),IF($D109=2,$AA$5,IF($D109=3,TRUNC($AA$5,-3))))</f>
        <v>0</v>
      </c>
    </row>
    <row r="110" spans="3:29" ht="15" customHeight="1" x14ac:dyDescent="0.15">
      <c r="C110" s="182"/>
      <c r="D110" s="210"/>
      <c r="E110" s="184"/>
      <c r="F110" s="227"/>
      <c r="G110" s="297" t="str">
        <f ca="1">IF(OR(AC$8=0,L110="b"),"",IF(L110="l",0,"("&amp;FIXED(-F110,K111,0)&amp;M110))</f>
        <v/>
      </c>
      <c r="H110" s="183"/>
      <c r="I110" s="185"/>
      <c r="L110" t="str">
        <f t="shared" ref="L110:L119" ca="1" si="25">CELL("type",F110)</f>
        <v>b</v>
      </c>
      <c r="M110" t="str">
        <f>")"&amp;REPT(" ",2-K111)&amp;IF(K111=0," ","")</f>
        <v xml:space="preserve">)   </v>
      </c>
      <c r="O110" s="194" t="s">
        <v>420</v>
      </c>
      <c r="P110" s="207">
        <f>D110</f>
        <v>0</v>
      </c>
      <c r="Q110" s="207">
        <f t="shared" si="24"/>
        <v>0</v>
      </c>
      <c r="R110" s="300" t="str">
        <f t="shared" ref="R110:R119" ca="1" si="26">G110</f>
        <v/>
      </c>
      <c r="S110" s="304"/>
      <c r="T110" s="369"/>
      <c r="U110" s="206">
        <f ca="1">IF(OR(AC$8=0,SUM(Z111:AC111)=0),1,IF(L110="l","",SUM(AB111:AC111)))</f>
        <v>1</v>
      </c>
      <c r="V110" s="387"/>
      <c r="W110" s="50"/>
      <c r="Z110"/>
    </row>
    <row r="111" spans="3:29" ht="15" customHeight="1" x14ac:dyDescent="0.15">
      <c r="C111" s="186"/>
      <c r="D111" s="205" t="s">
        <v>409</v>
      </c>
      <c r="E111" s="188" t="s">
        <v>418</v>
      </c>
      <c r="F111" s="226">
        <v>1</v>
      </c>
      <c r="G111" s="296" t="str">
        <f ca="1">IF(L111="b","",IF(L111="l",0,FIXED(F111,K111,0)&amp;M111))</f>
        <v xml:space="preserve">1    </v>
      </c>
      <c r="H111" s="187" t="s">
        <v>252</v>
      </c>
      <c r="I111" s="189"/>
      <c r="K111" s="215"/>
      <c r="L111" t="str">
        <f t="shared" ca="1" si="25"/>
        <v>v</v>
      </c>
      <c r="M111" t="str">
        <f>REPT(" ",3-K111)&amp;IF(K111=0," ","")</f>
        <v xml:space="preserve">    </v>
      </c>
      <c r="O111" s="194"/>
      <c r="P111" s="208" t="str">
        <f>IF(ISNUMBER(D111),LOOKUP(D111,$AB$5:$AC$7),D111)</f>
        <v>自 在 バ ン ド</v>
      </c>
      <c r="Q111" s="208" t="str">
        <f t="shared" si="24"/>
        <v>3BD-HC-12</v>
      </c>
      <c r="R111" s="301" t="str">
        <f t="shared" ca="1" si="26"/>
        <v xml:space="preserve">1    </v>
      </c>
      <c r="S111" s="305" t="str">
        <f>H111</f>
        <v>個</v>
      </c>
      <c r="T111" s="370">
        <v>903</v>
      </c>
      <c r="U111" s="216">
        <f ca="1">IF(L111="l","",IF(D111+F111&gt;0,SUM(Z111:AA111),-1))</f>
        <v>903</v>
      </c>
      <c r="V111" s="388">
        <v>206</v>
      </c>
      <c r="W111" s="107"/>
      <c r="Z111" s="114">
        <f>IF(D111&gt;0,0,TRUNC(F111*T111+Y111*X111))</f>
        <v>903</v>
      </c>
      <c r="AA111" t="b">
        <f>IF($D111=1,SUM(Z$13:Z109)-SUM(AA$13:AA109),IF($D111=2,$AA$6,IF($D111=3,TRUNC($AA$6,-3))))</f>
        <v>0</v>
      </c>
      <c r="AB111">
        <f ca="1">IF(OR(AC$8=0,L110="l",D111&gt;0,U111=-1),0,IF(L110="b",-U111,TRUNC(F110*T111)))</f>
        <v>0</v>
      </c>
      <c r="AC111" t="b">
        <f>IF($D111=1,SUM(AB$13:AB109)-SUM(AC$13:AC109),IF($D111=2,$AA$5,IF($D111=3,TRUNC($AA$5,-3))))</f>
        <v>0</v>
      </c>
    </row>
    <row r="112" spans="3:29" ht="15" customHeight="1" x14ac:dyDescent="0.15">
      <c r="C112" s="182"/>
      <c r="D112" s="210"/>
      <c r="E112" s="184"/>
      <c r="F112" s="227"/>
      <c r="G112" s="297" t="str">
        <f ca="1">IF(OR(AC$8=0,L112="b"),"",IF(L112="l",0,"("&amp;FIXED(-F112,K113,0)&amp;M112))</f>
        <v/>
      </c>
      <c r="H112" s="183"/>
      <c r="I112" s="185"/>
      <c r="L112" t="str">
        <f t="shared" ca="1" si="25"/>
        <v>b</v>
      </c>
      <c r="M112" t="str">
        <f>")"&amp;REPT(" ",2-K113)&amp;IF(K113=0," ","")</f>
        <v xml:space="preserve">)   </v>
      </c>
      <c r="O112" s="194"/>
      <c r="P112" s="207">
        <f>D112</f>
        <v>0</v>
      </c>
      <c r="Q112" s="207">
        <f t="shared" si="24"/>
        <v>0</v>
      </c>
      <c r="R112" s="300" t="str">
        <f t="shared" ca="1" si="26"/>
        <v/>
      </c>
      <c r="S112" s="304"/>
      <c r="T112" s="369"/>
      <c r="U112" s="206">
        <f ca="1">IF(OR(AC$8=0,SUM(Z113:AC113)=0),1,IF(L112="l","",SUM(AB113:AC113)))</f>
        <v>1</v>
      </c>
      <c r="V112" s="387"/>
      <c r="W112" s="50"/>
      <c r="Z112"/>
    </row>
    <row r="113" spans="3:29" ht="15" customHeight="1" x14ac:dyDescent="0.15">
      <c r="C113" s="186"/>
      <c r="D113" s="205" t="s">
        <v>416</v>
      </c>
      <c r="E113" s="188" t="s">
        <v>480</v>
      </c>
      <c r="F113" s="226">
        <v>1</v>
      </c>
      <c r="G113" s="296" t="str">
        <f ca="1">IF(L113="b","",IF(L113="l",0,FIXED(F113,K113,0)&amp;M113))</f>
        <v xml:space="preserve">1    </v>
      </c>
      <c r="H113" s="187" t="s">
        <v>252</v>
      </c>
      <c r="I113" s="189"/>
      <c r="K113" s="215"/>
      <c r="L113" t="str">
        <f t="shared" ca="1" si="25"/>
        <v>v</v>
      </c>
      <c r="M113" t="str">
        <f>REPT(" ",3-K113)&amp;IF(K113=0," ","")</f>
        <v xml:space="preserve">    </v>
      </c>
      <c r="O113" s="194"/>
      <c r="P113" s="208" t="str">
        <f>IF(ISNUMBER(D113),LOOKUP(D113,$AB$5:$AC$7),D113)</f>
        <v>シ　ン　ブ　ル</v>
      </c>
      <c r="Q113" s="208" t="str">
        <f t="shared" si="24"/>
        <v>丸形22㎜</v>
      </c>
      <c r="R113" s="301" t="str">
        <f t="shared" ca="1" si="26"/>
        <v xml:space="preserve">1    </v>
      </c>
      <c r="S113" s="305" t="str">
        <f>H113</f>
        <v>個</v>
      </c>
      <c r="T113" s="370">
        <v>186</v>
      </c>
      <c r="U113" s="216">
        <f ca="1">IF(L113="l","",IF(D113+F113&gt;0,SUM(Z113:AA113),-1))</f>
        <v>186</v>
      </c>
      <c r="V113" s="388">
        <v>222</v>
      </c>
      <c r="W113" s="107"/>
      <c r="Z113" s="114">
        <f>IF(D113&gt;0,0,TRUNC(F113*T113+Y113*X113))</f>
        <v>186</v>
      </c>
      <c r="AA113" t="b">
        <f>IF($D113=1,SUM(Z$13:Z111)-SUM(AA$13:AA111),IF($D113=2,$AA$6,IF($D113=3,TRUNC($AA$6,-3))))</f>
        <v>0</v>
      </c>
      <c r="AB113">
        <f ca="1">IF(OR(AC$8=0,L112="l",D113&gt;0,U113=-1),0,IF(L112="b",-U113,TRUNC(F112*T113)))</f>
        <v>0</v>
      </c>
      <c r="AC113" t="b">
        <f>IF($D113=1,SUM(AB$13:AB111)-SUM(AC$13:AC111),IF($D113=2,$AA$5,IF($D113=3,TRUNC($AA$5,-3))))</f>
        <v>0</v>
      </c>
    </row>
    <row r="114" spans="3:29" ht="15" customHeight="1" x14ac:dyDescent="0.15">
      <c r="C114" s="182"/>
      <c r="D114" s="210"/>
      <c r="E114" s="184"/>
      <c r="F114" s="227"/>
      <c r="G114" s="297" t="str">
        <f ca="1">IF(OR(AC$8=0,L114="b"),"",IF(L114="l",0,"("&amp;FIXED(-F114,K115,0)&amp;M114))</f>
        <v/>
      </c>
      <c r="H114" s="183"/>
      <c r="I114" s="185"/>
      <c r="L114" t="str">
        <f t="shared" ca="1" si="25"/>
        <v>b</v>
      </c>
      <c r="M114" t="str">
        <f>")"&amp;REPT(" ",2-K115)&amp;IF(K115=0," ","")</f>
        <v>)</v>
      </c>
      <c r="O114" s="194" t="s">
        <v>86</v>
      </c>
      <c r="P114" s="207">
        <f>D114</f>
        <v>0</v>
      </c>
      <c r="Q114" s="207">
        <f t="shared" si="24"/>
        <v>0</v>
      </c>
      <c r="R114" s="300" t="str">
        <f t="shared" ca="1" si="26"/>
        <v/>
      </c>
      <c r="S114" s="304"/>
      <c r="T114" s="369"/>
      <c r="U114" s="206">
        <f ca="1">IF(OR(AC$8=0,SUM(Z115:AC115)=0),1,IF(L114="l","",SUM(AB115:AC115)))</f>
        <v>1</v>
      </c>
      <c r="V114" s="387"/>
      <c r="W114" s="50"/>
      <c r="Z114"/>
    </row>
    <row r="115" spans="3:29" ht="15" customHeight="1" x14ac:dyDescent="0.15">
      <c r="C115" s="186"/>
      <c r="D115" s="205" t="s">
        <v>414</v>
      </c>
      <c r="E115" s="188" t="s">
        <v>534</v>
      </c>
      <c r="F115" s="226">
        <v>2.73</v>
      </c>
      <c r="G115" s="296" t="str">
        <f ca="1">IF(L115="b","",IF(L115="l",0,FIXED(F115,K115,0)&amp;M115))</f>
        <v xml:space="preserve">2.73 </v>
      </c>
      <c r="H115" s="187" t="s">
        <v>419</v>
      </c>
      <c r="I115" s="189"/>
      <c r="K115" s="215">
        <v>2</v>
      </c>
      <c r="L115" t="str">
        <f t="shared" ca="1" si="25"/>
        <v>v</v>
      </c>
      <c r="M115" t="str">
        <f>REPT(" ",3-K115)&amp;IF(K115=0," ","")</f>
        <v xml:space="preserve"> </v>
      </c>
      <c r="O115" s="194"/>
      <c r="P115" s="208" t="str">
        <f>IF(ISNUMBER(D115),LOOKUP(D115,$AB$5:$AC$7),D115)</f>
        <v>亜鉛引鋼より線</v>
      </c>
      <c r="Q115" s="208" t="str">
        <f t="shared" si="24"/>
        <v>38㎟</v>
      </c>
      <c r="R115" s="301" t="str">
        <f t="shared" ca="1" si="26"/>
        <v xml:space="preserve">2.73 </v>
      </c>
      <c r="S115" s="305" t="str">
        <f>H115</f>
        <v>kg</v>
      </c>
      <c r="T115" s="370">
        <v>343</v>
      </c>
      <c r="U115" s="216">
        <f ca="1">IF(L115="l","",IF(D115+F115&gt;0,SUM(Z115:AA115),-1))</f>
        <v>936</v>
      </c>
      <c r="V115" s="388">
        <v>223</v>
      </c>
      <c r="W115" s="107"/>
      <c r="Z115" s="114">
        <f>IF(D115&gt;0,0,TRUNC(F115*T115+Y115*X115))</f>
        <v>936</v>
      </c>
      <c r="AA115" t="b">
        <f>IF($D115=1,SUM(Z$13:Z113)-SUM(AA$13:AA113),IF($D115=2,$AA$6,IF($D115=3,TRUNC($AA$6,-3))))</f>
        <v>0</v>
      </c>
      <c r="AB115">
        <f ca="1">IF(OR(AC$8=0,L114="l",D115&gt;0,U115=-1),0,IF(L114="b",-U115,TRUNC(F114*T115)))</f>
        <v>0</v>
      </c>
      <c r="AC115" t="b">
        <f>IF($D115=1,SUM(AB$13:AB113)-SUM(AC$13:AC113),IF($D115=2,$AA$5,IF($D115=3,TRUNC($AA$5,-3))))</f>
        <v>0</v>
      </c>
    </row>
    <row r="116" spans="3:29" ht="15" customHeight="1" x14ac:dyDescent="0.15">
      <c r="C116" s="182"/>
      <c r="D116" s="210"/>
      <c r="E116" s="184"/>
      <c r="F116" s="227"/>
      <c r="G116" s="297" t="str">
        <f ca="1">IF(OR(AC$8=0,L116="b"),"",IF(L116="l",0,"("&amp;FIXED(-F116,K117,0)&amp;M116))</f>
        <v/>
      </c>
      <c r="H116" s="183"/>
      <c r="I116" s="185"/>
      <c r="L116" t="str">
        <f t="shared" ca="1" si="25"/>
        <v>b</v>
      </c>
      <c r="M116" t="str">
        <f>")"&amp;REPT(" ",2-K117)&amp;IF(K117=0," ","")</f>
        <v xml:space="preserve">)   </v>
      </c>
      <c r="O116" s="194"/>
      <c r="P116" s="207">
        <f>D116</f>
        <v>0</v>
      </c>
      <c r="Q116" s="207">
        <f t="shared" si="24"/>
        <v>0</v>
      </c>
      <c r="R116" s="300" t="str">
        <f t="shared" ca="1" si="26"/>
        <v/>
      </c>
      <c r="S116" s="304"/>
      <c r="T116" s="369"/>
      <c r="U116" s="206">
        <f ca="1">IF(OR(AC$8=0,SUM(Z117:AC117)=0),1,IF(L116="l","",SUM(AB117:AC117)))</f>
        <v>1</v>
      </c>
      <c r="V116" s="387"/>
      <c r="W116" s="50"/>
      <c r="Z116"/>
    </row>
    <row r="117" spans="3:29" ht="15" customHeight="1" x14ac:dyDescent="0.15">
      <c r="C117" s="186"/>
      <c r="D117" s="205" t="s">
        <v>415</v>
      </c>
      <c r="E117" s="188" t="s">
        <v>636</v>
      </c>
      <c r="F117" s="226">
        <v>2</v>
      </c>
      <c r="G117" s="296" t="str">
        <f ca="1">IF(L117="b","",IF(L117="l",0,FIXED(F117,K117,0)&amp;M117))</f>
        <v xml:space="preserve">2    </v>
      </c>
      <c r="H117" s="187" t="s">
        <v>252</v>
      </c>
      <c r="I117" s="189"/>
      <c r="K117" s="215"/>
      <c r="L117" t="str">
        <f t="shared" ca="1" si="25"/>
        <v>v</v>
      </c>
      <c r="M117" t="str">
        <f>REPT(" ",3-K117)&amp;IF(K117=0," ","")</f>
        <v xml:space="preserve">    </v>
      </c>
      <c r="O117" s="194"/>
      <c r="P117" s="208" t="str">
        <f>IF(ISNUMBER(D117),LOOKUP(D117,$AB$5:$AC$7),D117)</f>
        <v>巻付けクリップ</v>
      </c>
      <c r="Q117" s="208" t="str">
        <f t="shared" si="24"/>
        <v>シンブル,玉碍子用38㎟</v>
      </c>
      <c r="R117" s="301" t="str">
        <f t="shared" ca="1" si="26"/>
        <v xml:space="preserve">2    </v>
      </c>
      <c r="S117" s="305" t="str">
        <f>H117</f>
        <v>個</v>
      </c>
      <c r="T117" s="370">
        <v>365</v>
      </c>
      <c r="U117" s="216">
        <f ca="1">IF(L117="l","",IF(D117+F117&gt;0,SUM(Z117:AA117),-1))</f>
        <v>730</v>
      </c>
      <c r="V117" s="388">
        <v>224</v>
      </c>
      <c r="W117" s="107"/>
      <c r="Z117" s="114">
        <f>IF(D117&gt;0,0,TRUNC(F117*T117+Y117*X117))</f>
        <v>730</v>
      </c>
      <c r="AA117" t="b">
        <f>IF($D117=1,SUM(Z$13:Z115)-SUM(AA$13:AA115),IF($D117=2,$AA$6,IF($D117=3,TRUNC($AA$6,-3))))</f>
        <v>0</v>
      </c>
      <c r="AB117">
        <f ca="1">IF(OR(AC$8=0,L116="l",D117&gt;0,U117=-1),0,IF(L116="b",-U117,TRUNC(F116*T117)))</f>
        <v>0</v>
      </c>
      <c r="AC117" t="b">
        <f>IF($D117=1,SUM(AB$13:AB115)-SUM(AC$13:AC115),IF($D117=2,$AA$5,IF($D117=3,TRUNC($AA$5,-3))))</f>
        <v>0</v>
      </c>
    </row>
    <row r="118" spans="3:29" ht="15" customHeight="1" x14ac:dyDescent="0.15">
      <c r="C118" s="182"/>
      <c r="D118" s="210"/>
      <c r="E118" s="184"/>
      <c r="F118" s="227"/>
      <c r="G118" s="297" t="str">
        <f ca="1">IF(OR(AC$8=0,L118="b"),"",IF(L118="l",0,"("&amp;FIXED(-F118,K119,0)&amp;M118))</f>
        <v/>
      </c>
      <c r="H118" s="183"/>
      <c r="I118" s="185"/>
      <c r="L118" t="str">
        <f t="shared" ca="1" si="25"/>
        <v>b</v>
      </c>
      <c r="M118" t="str">
        <f>")"&amp;REPT(" ",2-K119)&amp;IF(K119=0," ","")</f>
        <v xml:space="preserve">)   </v>
      </c>
      <c r="O118" s="194" t="s">
        <v>253</v>
      </c>
      <c r="P118" s="207">
        <f>D118</f>
        <v>0</v>
      </c>
      <c r="Q118" s="207">
        <f>E118</f>
        <v>0</v>
      </c>
      <c r="R118" s="300" t="str">
        <f t="shared" ca="1" si="26"/>
        <v/>
      </c>
      <c r="S118" s="304"/>
      <c r="T118" s="369"/>
      <c r="U118" s="206">
        <f ca="1">IF(OR(AC$8=0,SUM(Z119:AC119)=0),1,IF(L118="l","",SUM(AB119:AC119)))</f>
        <v>1</v>
      </c>
      <c r="V118" s="387"/>
      <c r="W118" s="50"/>
      <c r="Z118"/>
    </row>
    <row r="119" spans="3:29" ht="15" customHeight="1" x14ac:dyDescent="0.15">
      <c r="C119" s="186"/>
      <c r="D119" s="205" t="s">
        <v>417</v>
      </c>
      <c r="E119" s="188" t="s">
        <v>535</v>
      </c>
      <c r="F119" s="226">
        <v>1</v>
      </c>
      <c r="G119" s="296" t="str">
        <f ca="1">IF(L119="b","",IF(L119="l",0,FIXED(F119,K119,0)&amp;M119))</f>
        <v xml:space="preserve">1    </v>
      </c>
      <c r="H119" s="187" t="s">
        <v>74</v>
      </c>
      <c r="I119" s="189"/>
      <c r="K119" s="215"/>
      <c r="L119" t="str">
        <f t="shared" ca="1" si="25"/>
        <v>v</v>
      </c>
      <c r="M119" t="str">
        <f>REPT(" ",3-K119)&amp;IF(K119=0," ","")</f>
        <v xml:space="preserve">    </v>
      </c>
      <c r="O119" s="194"/>
      <c r="P119" s="208" t="str">
        <f>IF(ISNUMBER(D119),LOOKUP(D119,$AB$5:$AC$7),D119)</f>
        <v>支 線 ガ ー ド</v>
      </c>
      <c r="Q119" s="208" t="str">
        <f t="shared" ref="Q119:Q129" si="27">E119</f>
        <v>PVC(黄)2.2m</v>
      </c>
      <c r="R119" s="301" t="str">
        <f t="shared" ca="1" si="26"/>
        <v xml:space="preserve">1    </v>
      </c>
      <c r="S119" s="305" t="str">
        <f>H119</f>
        <v>本</v>
      </c>
      <c r="T119" s="370">
        <v>2050</v>
      </c>
      <c r="U119" s="216">
        <f ca="1">IF(L119="l","",IF(D119+F119&gt;0,SUM(Z119:AA119),-1))</f>
        <v>2050</v>
      </c>
      <c r="V119" s="388">
        <v>226</v>
      </c>
      <c r="W119" s="107"/>
      <c r="Z119" s="114">
        <f>IF(D119&gt;0,0,TRUNC(F119*T119+Y119*X119))</f>
        <v>2050</v>
      </c>
      <c r="AA119" t="b">
        <f>IF($D119=1,SUM(Z$13:Z117)-SUM(AA$13:AA117),IF($D119=2,$AA$6,IF($D119=3,TRUNC($AA$6,-3))))</f>
        <v>0</v>
      </c>
      <c r="AB119">
        <f ca="1">IF(OR(AC$8=0,L118="l",D119&gt;0,U119=-1),0,IF(L118="b",-U119,TRUNC(F118*T119)))</f>
        <v>0</v>
      </c>
      <c r="AC119" t="b">
        <f>IF($D119=1,SUM(AB$13:AB117)-SUM(AC$13:AC117),IF($D119=2,$AA$5,IF($D119=3,TRUNC($AA$5,-3))))</f>
        <v>0</v>
      </c>
    </row>
    <row r="120" spans="3:29" ht="15" customHeight="1" x14ac:dyDescent="0.15">
      <c r="C120" s="182"/>
      <c r="D120" s="210"/>
      <c r="E120" s="184"/>
      <c r="F120" s="227"/>
      <c r="G120" s="297" t="str">
        <f ca="1">IF(OR(AC$8=0,L120="b"),"",IF(L120="l",0,"("&amp;FIXED(-F120,K121,0)&amp;M120))</f>
        <v/>
      </c>
      <c r="H120" s="183"/>
      <c r="I120" s="185"/>
      <c r="L120" t="str">
        <f t="shared" ca="1" si="22"/>
        <v>b</v>
      </c>
      <c r="M120" t="str">
        <f>")"&amp;REPT(" ",2-K121)&amp;IF(K121=0," ","")</f>
        <v xml:space="preserve">)   </v>
      </c>
      <c r="O120" s="194"/>
      <c r="P120" s="207">
        <f>D120</f>
        <v>0</v>
      </c>
      <c r="Q120" s="207">
        <f t="shared" si="27"/>
        <v>0</v>
      </c>
      <c r="R120" s="300" t="str">
        <f t="shared" ca="1" si="23"/>
        <v/>
      </c>
      <c r="S120" s="304"/>
      <c r="T120" s="144"/>
      <c r="U120" s="206">
        <f ca="1">IF(OR(AC$8=0,SUM(Z121:AC121)=0),1,IF(L120="l","",SUM(AB121:AC121)))</f>
        <v>1</v>
      </c>
      <c r="V120" s="385"/>
      <c r="W120" s="50"/>
      <c r="Z120"/>
    </row>
    <row r="121" spans="3:29" ht="15" customHeight="1" x14ac:dyDescent="0.15">
      <c r="C121" s="186"/>
      <c r="D121" s="205"/>
      <c r="E121" s="188"/>
      <c r="F121" s="226"/>
      <c r="G121" s="296" t="str">
        <f ca="1">IF(L121="b","",IF(L121="l",0,FIXED(F121,K121,0)&amp;M121))</f>
        <v/>
      </c>
      <c r="H121" s="187"/>
      <c r="I121" s="189"/>
      <c r="K121" s="215"/>
      <c r="L121" t="str">
        <f t="shared" ca="1" si="22"/>
        <v>b</v>
      </c>
      <c r="M121" t="str">
        <f>REPT(" ",3-K121)&amp;IF(K121=0," ","")</f>
        <v xml:space="preserve">    </v>
      </c>
      <c r="O121" s="194"/>
      <c r="P121" s="208">
        <f>IF(ISNUMBER(D121),LOOKUP(D121,$AB$5:$AC$7),D121)</f>
        <v>0</v>
      </c>
      <c r="Q121" s="208">
        <f t="shared" si="27"/>
        <v>0</v>
      </c>
      <c r="R121" s="301" t="str">
        <f t="shared" ca="1" si="23"/>
        <v/>
      </c>
      <c r="S121" s="305">
        <f>H121</f>
        <v>0</v>
      </c>
      <c r="T121" s="145"/>
      <c r="U121" s="216">
        <f ca="1">IF(L121="l","",IF(D121+F121&gt;0,SUM(Z121:AA121),-1))</f>
        <v>-1</v>
      </c>
      <c r="V121" s="386"/>
      <c r="W121" s="107"/>
      <c r="Z121" s="114">
        <f>IF(D121&gt;0,0,TRUNC(F121*T121+Y121*X121))</f>
        <v>0</v>
      </c>
      <c r="AA121" t="b">
        <f>IF($D121=1,SUM(Z$13:Z119)-SUM(AA$13:AA119),IF($D121=2,$AA$6,IF($D121=3,TRUNC($AA$6,-3))))</f>
        <v>0</v>
      </c>
      <c r="AB121">
        <f ca="1">IF(OR(AC$8=0,L120="l",D121&gt;0,U121=-1),0,IF(L120="b",-U121,TRUNC(F120*T121)))</f>
        <v>0</v>
      </c>
      <c r="AC121" t="b">
        <f>IF($D121=1,SUM(AB$13:AB119)-SUM(AC$13:AC119),IF($D121=2,$AA$5,IF($D121=3,TRUNC($AA$5,-3))))</f>
        <v>0</v>
      </c>
    </row>
    <row r="122" spans="3:29" ht="15" customHeight="1" x14ac:dyDescent="0.15">
      <c r="C122" s="182"/>
      <c r="D122" s="210"/>
      <c r="E122" s="184"/>
      <c r="F122" s="227"/>
      <c r="G122" s="297" t="str">
        <f ca="1">IF(OR(AC$8=0,L122="b"),"",IF(L122="l",0,"("&amp;FIXED(-F122,K123,0)&amp;M122))</f>
        <v/>
      </c>
      <c r="H122" s="183"/>
      <c r="I122" s="185"/>
      <c r="L122" t="str">
        <f t="shared" ca="1" si="22"/>
        <v>b</v>
      </c>
      <c r="M122" t="str">
        <f>")"&amp;REPT(" ",2-K123)&amp;IF(K123=0," ","")</f>
        <v xml:space="preserve">)   </v>
      </c>
      <c r="O122" s="194"/>
      <c r="P122" s="207">
        <f>D122</f>
        <v>0</v>
      </c>
      <c r="Q122" s="207">
        <f t="shared" si="27"/>
        <v>0</v>
      </c>
      <c r="R122" s="300" t="str">
        <f t="shared" ca="1" si="23"/>
        <v/>
      </c>
      <c r="S122" s="304"/>
      <c r="T122" s="369"/>
      <c r="U122" s="206">
        <f ca="1">IF(OR(AC$8=0,SUM(Z123:AC123)=0),1,IF(L122="l","",SUM(AB123:AC123)))</f>
        <v>1</v>
      </c>
      <c r="V122" s="387"/>
      <c r="W122" s="50" t="str">
        <f ca="1">IF(OR(AC$8=0,SUM(Z123:AC123)=0),"",CONCATENATE("(",FIXED(-#REF!,0),")"))</f>
        <v/>
      </c>
      <c r="Z122"/>
    </row>
    <row r="123" spans="3:29" ht="15" customHeight="1" x14ac:dyDescent="0.15">
      <c r="C123" s="186"/>
      <c r="D123" s="205">
        <v>1</v>
      </c>
      <c r="E123" s="188"/>
      <c r="F123" s="226"/>
      <c r="G123" s="296" t="str">
        <f ca="1">IF(L123="b","",IF(L123="l",0,FIXED(F123,K123,0)&amp;M123))</f>
        <v/>
      </c>
      <c r="H123" s="187"/>
      <c r="I123" s="189"/>
      <c r="K123" s="215"/>
      <c r="L123" t="str">
        <f t="shared" ca="1" si="22"/>
        <v>b</v>
      </c>
      <c r="M123" t="str">
        <f>REPT(" ",3-K123)&amp;IF(K123=0," ","")</f>
        <v xml:space="preserve">    </v>
      </c>
      <c r="O123" s="194"/>
      <c r="P123" s="208" t="str">
        <f>IF(ISNUMBER(D123),LOOKUP(D123,$AB$5:$AC$7),D123)</f>
        <v>小    　計</v>
      </c>
      <c r="Q123" s="208">
        <f t="shared" si="27"/>
        <v>0</v>
      </c>
      <c r="R123" s="301" t="str">
        <f t="shared" ca="1" si="23"/>
        <v/>
      </c>
      <c r="S123" s="305">
        <f>H123</f>
        <v>0</v>
      </c>
      <c r="T123" s="370"/>
      <c r="U123" s="216">
        <f ca="1">IF(L123="l","",IF(D123+F123&gt;0,SUM(Z123:AA123),-1))</f>
        <v>8985</v>
      </c>
      <c r="V123" s="388"/>
      <c r="W123" s="107"/>
      <c r="Z123" s="114">
        <f>IF(D123&gt;0,0,TRUNC(F123*T123+Y123*X123))</f>
        <v>0</v>
      </c>
      <c r="AA123">
        <f>IF($D123=1,SUM(Z$13:Z121)-SUM(AA$13:AA121),IF($D123=2,$AA$6,IF($D123=3,TRUNC($AA$6,-3))))</f>
        <v>8985</v>
      </c>
      <c r="AB123">
        <f ca="1">IF(OR(AC$8=0,L122="l",D123&gt;0,U123=-1),0,IF(L122="b",-U123,TRUNC(F122*T123)))</f>
        <v>0</v>
      </c>
      <c r="AC123">
        <f ca="1">IF($D123=1,SUM(AB$13:AB121)-SUM(AC$13:AC121),IF($D123=2,$AA$5,IF($D123=3,TRUNC($AA$5,-3))))</f>
        <v>0</v>
      </c>
    </row>
    <row r="124" spans="3:29" ht="15" customHeight="1" x14ac:dyDescent="0.15">
      <c r="C124" s="182"/>
      <c r="D124" s="210"/>
      <c r="E124" s="184" t="s">
        <v>552</v>
      </c>
      <c r="F124" s="227"/>
      <c r="G124" s="297" t="str">
        <f ca="1">IF(OR(AC$8=0,L124="b"),"",IF(L124="l",0,"("&amp;FIXED(-F124,K125,0)&amp;M124))</f>
        <v/>
      </c>
      <c r="H124" s="183"/>
      <c r="I124" s="185"/>
      <c r="L124" t="str">
        <f t="shared" ca="1" si="22"/>
        <v>b</v>
      </c>
      <c r="M124" t="str">
        <f>")"&amp;REPT(" ",2-K125)&amp;IF(K125=0," ","")</f>
        <v xml:space="preserve">)   </v>
      </c>
      <c r="O124" s="194"/>
      <c r="P124" s="207">
        <f>D124</f>
        <v>0</v>
      </c>
      <c r="Q124" s="207" t="str">
        <f t="shared" si="27"/>
        <v>VE製 防水型</v>
      </c>
      <c r="R124" s="300" t="str">
        <f t="shared" ca="1" si="23"/>
        <v/>
      </c>
      <c r="S124" s="304"/>
      <c r="T124" s="369"/>
      <c r="U124" s="206">
        <f ca="1">IF(OR(AC$8=0,SUM(Z125:AC125)=0),1,IF(L124="l","",SUM(AB125:AC125)))</f>
        <v>1</v>
      </c>
      <c r="V124" s="387"/>
      <c r="W124" s="50"/>
      <c r="Z124"/>
    </row>
    <row r="125" spans="3:29" ht="15" customHeight="1" x14ac:dyDescent="0.15">
      <c r="C125" s="186" t="s">
        <v>45</v>
      </c>
      <c r="D125" s="205" t="s">
        <v>357</v>
      </c>
      <c r="E125" s="188" t="s">
        <v>457</v>
      </c>
      <c r="F125" s="226">
        <v>1</v>
      </c>
      <c r="G125" s="296" t="str">
        <f ca="1">IF(L125="b","",IF(L125="l",0,FIXED(F125,K125,0)&amp;M125))</f>
        <v xml:space="preserve">1    </v>
      </c>
      <c r="H125" s="187" t="s">
        <v>252</v>
      </c>
      <c r="I125" s="189"/>
      <c r="K125" s="215"/>
      <c r="L125" t="str">
        <f t="shared" ca="1" si="22"/>
        <v>v</v>
      </c>
      <c r="M125" t="str">
        <f>REPT(" ",3-K125)&amp;IF(K125=0," ","")</f>
        <v xml:space="preserve">    </v>
      </c>
      <c r="O125" s="194"/>
      <c r="P125" s="208" t="str">
        <f>IF(ISNUMBER(D125),LOOKUP(D125,$AB$5:$AC$7),D125)</f>
        <v>プ ル ボ ッ ク ス</v>
      </c>
      <c r="Q125" s="208" t="str">
        <f t="shared" si="27"/>
        <v>200□×100</v>
      </c>
      <c r="R125" s="301" t="str">
        <f t="shared" ca="1" si="23"/>
        <v xml:space="preserve">1    </v>
      </c>
      <c r="S125" s="305" t="str">
        <f>H125</f>
        <v>個</v>
      </c>
      <c r="T125" s="370">
        <v>1660</v>
      </c>
      <c r="U125" s="216">
        <f ca="1">IF(L125="l","",IF(D125+F125&gt;0,SUM(Z125:AA125),-1))</f>
        <v>1660</v>
      </c>
      <c r="V125" s="388">
        <v>174</v>
      </c>
      <c r="W125" s="107"/>
      <c r="Z125" s="114">
        <f>IF(D125&gt;0,0,TRUNC(F125*T125+Y125*X125))</f>
        <v>1660</v>
      </c>
      <c r="AA125" t="b">
        <f>IF($D125=1,SUM(Z$13:Z123)-SUM(AA$13:AA123),IF($D125=2,$AA$6,IF($D125=3,TRUNC($AA$6,-3))))</f>
        <v>0</v>
      </c>
      <c r="AB125">
        <f ca="1">IF(OR(AC$8=0,L124="l",D125&gt;0,U125=-1),0,IF(L124="b",-U125,TRUNC(F124*T125)))</f>
        <v>0</v>
      </c>
      <c r="AC125" t="b">
        <f>IF($D125=1,SUM(AB$13:AB123)-SUM(AC$13:AC123),IF($D125=2,$AA$5,IF($D125=3,TRUNC($AA$5,-3))))</f>
        <v>0</v>
      </c>
    </row>
    <row r="126" spans="3:29" ht="15" customHeight="1" x14ac:dyDescent="0.15">
      <c r="C126" s="182"/>
      <c r="D126" s="210"/>
      <c r="E126" s="184"/>
      <c r="F126" s="227"/>
      <c r="G126" s="297" t="str">
        <f ca="1">IF(OR(AC$8=0,L126="b"),"",IF(L126="l",0,"("&amp;FIXED(-F126,K127,0)&amp;M126))</f>
        <v/>
      </c>
      <c r="H126" s="183"/>
      <c r="I126" s="185"/>
      <c r="L126" t="str">
        <f t="shared" ca="1" si="22"/>
        <v>b</v>
      </c>
      <c r="M126" t="str">
        <f>")"&amp;REPT(" ",2-K127)&amp;IF(K127=0," ","")</f>
        <v xml:space="preserve">)   </v>
      </c>
      <c r="O126" s="194" t="s">
        <v>329</v>
      </c>
      <c r="P126" s="207">
        <f>D126</f>
        <v>0</v>
      </c>
      <c r="Q126" s="207">
        <f t="shared" si="27"/>
        <v>0</v>
      </c>
      <c r="R126" s="300" t="str">
        <f t="shared" ca="1" si="23"/>
        <v/>
      </c>
      <c r="S126" s="304"/>
      <c r="T126" s="369"/>
      <c r="U126" s="206">
        <f ca="1">IF(OR(AC$8=0,SUM(Z127:AC127)=0),1,IF(L126="l","",SUM(AB127:AC127)))</f>
        <v>1</v>
      </c>
      <c r="V126" s="387"/>
      <c r="W126" s="50"/>
      <c r="Z126"/>
    </row>
    <row r="127" spans="3:29" ht="15" customHeight="1" x14ac:dyDescent="0.15">
      <c r="C127" s="186"/>
      <c r="D127" s="205" t="s">
        <v>46</v>
      </c>
      <c r="E127" s="188" t="s">
        <v>540</v>
      </c>
      <c r="F127" s="226">
        <v>3</v>
      </c>
      <c r="G127" s="296" t="str">
        <f ca="1">IF(L127="b","",IF(L127="l",0,FIXED(F127,K127,0)&amp;M127))</f>
        <v xml:space="preserve">3    </v>
      </c>
      <c r="H127" s="187" t="s">
        <v>340</v>
      </c>
      <c r="I127" s="189"/>
      <c r="K127" s="215"/>
      <c r="L127" t="str">
        <f t="shared" ca="1" si="22"/>
        <v>v</v>
      </c>
      <c r="M127" t="str">
        <f>REPT(" ",3-K127)&amp;IF(K127=0," ","")</f>
        <v xml:space="preserve">    </v>
      </c>
      <c r="O127" s="194"/>
      <c r="P127" s="208" t="str">
        <f>IF(ISNUMBER(D127),LOOKUP(D127,$AB$5:$AC$7),D127)</f>
        <v>ハ ン ド ホ ー ル</v>
      </c>
      <c r="Q127" s="208" t="str">
        <f t="shared" si="27"/>
        <v>900□×900 蓋付</v>
      </c>
      <c r="R127" s="301" t="str">
        <f t="shared" ca="1" si="23"/>
        <v xml:space="preserve">3    </v>
      </c>
      <c r="S127" s="305" t="str">
        <f>H127</f>
        <v>組</v>
      </c>
      <c r="T127" s="370">
        <v>108000</v>
      </c>
      <c r="U127" s="216">
        <f ca="1">IF(L127="l","",IF(D127+F127&gt;0,SUM(Z127:AA127),-1))</f>
        <v>324000</v>
      </c>
      <c r="V127" s="388">
        <v>236</v>
      </c>
      <c r="W127" s="107"/>
      <c r="Z127" s="114">
        <f>IF(D127&gt;0,0,TRUNC(F127*T127+Y127*X127))</f>
        <v>324000</v>
      </c>
      <c r="AA127" t="b">
        <f>IF($D127=1,SUM(Z$13:Z125)-SUM(AA$13:AA125),IF($D127=2,$AA$6,IF($D127=3,TRUNC($AA$6,-3))))</f>
        <v>0</v>
      </c>
      <c r="AB127">
        <f ca="1">IF(OR(AC$8=0,L126="l",D127&gt;0,U127=-1),0,IF(L126="b",-U127,TRUNC(F126*T127)))</f>
        <v>0</v>
      </c>
      <c r="AC127" t="b">
        <f>IF($D127=1,SUM(AB$13:AB125)-SUM(AC$13:AC125),IF($D127=2,$AA$5,IF($D127=3,TRUNC($AA$5,-3))))</f>
        <v>0</v>
      </c>
    </row>
    <row r="128" spans="3:29" ht="15" customHeight="1" x14ac:dyDescent="0.15">
      <c r="C128" s="182"/>
      <c r="D128" s="210"/>
      <c r="E128" s="184"/>
      <c r="F128" s="227"/>
      <c r="G128" s="297" t="str">
        <f ca="1">IF(OR(AC$8=0,L128="b"),"",IF(L128="l",0,"("&amp;FIXED(-F128,K129,0)&amp;M128))</f>
        <v/>
      </c>
      <c r="H128" s="183"/>
      <c r="I128" s="185"/>
      <c r="L128" t="str">
        <f t="shared" ca="1" si="22"/>
        <v>b</v>
      </c>
      <c r="M128" t="str">
        <f>")"&amp;REPT(" ",2-K129)&amp;IF(K129=0," ","")</f>
        <v xml:space="preserve">)   </v>
      </c>
      <c r="O128" s="194"/>
      <c r="P128" s="207">
        <f>D128</f>
        <v>0</v>
      </c>
      <c r="Q128" s="207">
        <f t="shared" si="27"/>
        <v>0</v>
      </c>
      <c r="R128" s="300" t="str">
        <f t="shared" ca="1" si="23"/>
        <v/>
      </c>
      <c r="S128" s="304"/>
      <c r="T128" s="369"/>
      <c r="U128" s="206">
        <f ca="1">IF(OR(AC$8=0,SUM(Z129:AC129)=0),1,IF(L128="l","",SUM(AB129:AC129)))</f>
        <v>1</v>
      </c>
      <c r="V128" s="387"/>
      <c r="W128" s="50"/>
      <c r="Z128"/>
    </row>
    <row r="129" spans="1:29" ht="15" customHeight="1" x14ac:dyDescent="0.15">
      <c r="C129" s="186"/>
      <c r="D129" s="205" t="s">
        <v>487</v>
      </c>
      <c r="E129" s="188" t="s">
        <v>488</v>
      </c>
      <c r="F129" s="226">
        <f>F127</f>
        <v>3</v>
      </c>
      <c r="G129" s="296" t="str">
        <f ca="1">IF(L129="b","",IF(L129="l",0,FIXED(F129,K129,0)&amp;M129))</f>
        <v xml:space="preserve">3    </v>
      </c>
      <c r="H129" s="187" t="s">
        <v>472</v>
      </c>
      <c r="I129" s="189"/>
      <c r="K129" s="215"/>
      <c r="L129" t="str">
        <f t="shared" ca="1" si="22"/>
        <v>v</v>
      </c>
      <c r="M129" t="str">
        <f>REPT(" ",3-K129)&amp;IF(K129=0," ","")</f>
        <v xml:space="preserve">    </v>
      </c>
      <c r="O129" s="194"/>
      <c r="P129" s="208" t="str">
        <f>IF(ISNUMBER(D129),LOOKUP(D129,$AB$5:$AC$7),D129)</f>
        <v>ハンドホール据付</v>
      </c>
      <c r="Q129" s="208" t="str">
        <f t="shared" si="27"/>
        <v>2,000㎏/基以下</v>
      </c>
      <c r="R129" s="301" t="str">
        <f t="shared" ca="1" si="23"/>
        <v xml:space="preserve">3    </v>
      </c>
      <c r="S129" s="305" t="str">
        <f>H129</f>
        <v>基</v>
      </c>
      <c r="T129" s="543">
        <v>19640</v>
      </c>
      <c r="U129" s="216">
        <f ca="1">IF(L129="l","",IF(D129+F129&gt;0,SUM(Z129:AA129),-1))</f>
        <v>58920</v>
      </c>
      <c r="V129" s="544" t="s">
        <v>710</v>
      </c>
      <c r="W129" s="107"/>
      <c r="Z129" s="114">
        <f>IF(D129&gt;0,0,TRUNC(F129*T129+Y129*X129))</f>
        <v>58920</v>
      </c>
      <c r="AA129" t="b">
        <f>IF($D129=1,SUM(Z$13:Z127)-SUM(AA$13:AA127),IF($D129=2,$AA$6,IF($D129=3,TRUNC($AA$6,-3))))</f>
        <v>0</v>
      </c>
      <c r="AB129">
        <f ca="1">IF(OR(AC$8=0,L128="l",D129&gt;0,U129=-1),0,IF(L128="b",-U129,TRUNC(F128*T129)))</f>
        <v>0</v>
      </c>
      <c r="AC129" t="b">
        <f>IF($D129=1,SUM(AB$13:AB127)-SUM(AC$13:AC127),IF($D129=2,$AA$5,IF($D129=3,TRUNC($AA$5,-3))))</f>
        <v>0</v>
      </c>
    </row>
    <row r="130" spans="1:29" ht="15" customHeight="1" x14ac:dyDescent="0.15">
      <c r="C130" s="182"/>
      <c r="D130" s="210"/>
      <c r="E130" s="184"/>
      <c r="F130" s="227"/>
      <c r="G130" s="297" t="str">
        <f ca="1">IF(OR(AC$8=0,L130="b"),"",IF(L130="l",0,"("&amp;FIXED(-F130,K131,0)&amp;M130))</f>
        <v/>
      </c>
      <c r="H130" s="183"/>
      <c r="I130" s="185"/>
      <c r="L130" t="str">
        <f t="shared" ca="1" si="22"/>
        <v>b</v>
      </c>
      <c r="M130" t="str">
        <f>")"&amp;REPT(" ",2-K131)&amp;IF(K131=0," ","")</f>
        <v xml:space="preserve">)   </v>
      </c>
      <c r="O130" s="194" t="s">
        <v>328</v>
      </c>
      <c r="P130" s="207">
        <f>D130</f>
        <v>0</v>
      </c>
      <c r="Q130" s="207">
        <f t="shared" ref="Q130:Q141" si="28">E130</f>
        <v>0</v>
      </c>
      <c r="R130" s="300" t="str">
        <f t="shared" ca="1" si="23"/>
        <v/>
      </c>
      <c r="S130" s="304"/>
      <c r="T130" s="144"/>
      <c r="U130" s="206">
        <f ca="1">IF(OR(AC$8=0,SUM(Z131:AC131)=0),1,IF(L130="l","",SUM(AB131:AC131)))</f>
        <v>1</v>
      </c>
      <c r="V130" s="385"/>
      <c r="W130" s="197" t="str">
        <f>IF(OR(AC$8=0,Y130+Y131=0),"",TEXT(-Y130,"(#,0)"))</f>
        <v/>
      </c>
      <c r="Z130"/>
    </row>
    <row r="131" spans="1:29" ht="15" customHeight="1" x14ac:dyDescent="0.15">
      <c r="C131" s="186"/>
      <c r="D131" s="205" t="s">
        <v>477</v>
      </c>
      <c r="E131" s="188" t="s">
        <v>682</v>
      </c>
      <c r="F131" s="226">
        <v>3</v>
      </c>
      <c r="G131" s="296" t="str">
        <f ca="1">IF(L131="b","",IF(L131="l",0,FIXED(F131,K131,0)&amp;M131))</f>
        <v xml:space="preserve">3    </v>
      </c>
      <c r="H131" s="187" t="s">
        <v>79</v>
      </c>
      <c r="I131" s="189"/>
      <c r="K131" s="215"/>
      <c r="L131" t="str">
        <f t="shared" ca="1" si="22"/>
        <v>v</v>
      </c>
      <c r="M131" t="str">
        <f>REPT(" ",3-K131)&amp;IF(K131=0," ","")</f>
        <v xml:space="preserve">    </v>
      </c>
      <c r="O131" s="194"/>
      <c r="P131" s="208" t="str">
        <f>IF(ISNUMBER(D131),LOOKUP(D131,$AB$5:$AC$7),D131)</f>
        <v>端 末 処 理 材</v>
      </c>
      <c r="Q131" s="208" t="str">
        <f t="shared" si="28"/>
        <v xml:space="preserve">600V　EM-CET 150 ㎟     </v>
      </c>
      <c r="R131" s="301" t="str">
        <f t="shared" ca="1" si="23"/>
        <v xml:space="preserve">3    </v>
      </c>
      <c r="S131" s="305" t="str">
        <f>H131</f>
        <v>箇所</v>
      </c>
      <c r="T131" s="502">
        <v>19800</v>
      </c>
      <c r="U131" s="216">
        <f ca="1">IF(L131="l","",IF(D131+F131&gt;0,SUM(Z131:AA131),-1))</f>
        <v>59400</v>
      </c>
      <c r="V131" s="493" t="s">
        <v>712</v>
      </c>
      <c r="W131" s="142"/>
      <c r="Z131" s="114">
        <f>IF(D131&gt;0,0,TRUNC(F131*T131+Y131*X131))</f>
        <v>59400</v>
      </c>
      <c r="AA131" t="b">
        <f>IF($D131=1,SUM(Z$13:Z129)-SUM(AA$13:AA129),IF($D131=2,$AA$6,IF($D131=3,TRUNC($AA$6,-3))))</f>
        <v>0</v>
      </c>
      <c r="AB131">
        <f ca="1">IF(OR(AC$8=0,L130="l",D131&gt;0,U131=-1),0,IF(L130="b",-U131,TRUNC(F130*T131)))</f>
        <v>0</v>
      </c>
      <c r="AC131" t="b">
        <f>IF($D131=1,SUM(AB$13:AB129)-SUM(AC$13:AC129),IF($D131=2,$AA$5,IF($D131=3,TRUNC($AA$5,-3))))</f>
        <v>0</v>
      </c>
    </row>
    <row r="132" spans="1:29" ht="15" customHeight="1" x14ac:dyDescent="0.15">
      <c r="C132" s="182"/>
      <c r="D132" s="210"/>
      <c r="E132" s="184"/>
      <c r="F132" s="227"/>
      <c r="G132" s="297" t="str">
        <f ca="1">IF(OR(AC$8=0,L132="b"),"",IF(L132="l",0,"("&amp;FIXED(-F132,K133,0)&amp;M132))</f>
        <v/>
      </c>
      <c r="H132" s="183"/>
      <c r="I132" s="185"/>
      <c r="L132" t="str">
        <f t="shared" ca="1" si="22"/>
        <v>b</v>
      </c>
      <c r="M132" t="str">
        <f>")"&amp;REPT(" ",2-K133)&amp;IF(K133=0," ","")</f>
        <v xml:space="preserve">)   </v>
      </c>
      <c r="O132" s="194"/>
      <c r="P132" s="207">
        <f>D132</f>
        <v>0</v>
      </c>
      <c r="Q132" s="207">
        <f t="shared" si="28"/>
        <v>0</v>
      </c>
      <c r="R132" s="300" t="str">
        <f t="shared" ca="1" si="23"/>
        <v/>
      </c>
      <c r="S132" s="304"/>
      <c r="T132" s="144"/>
      <c r="U132" s="206">
        <f ca="1">IF(OR(AC$8=0,SUM(Z133:AC133)=0),1,IF(L132="l","",SUM(AB133:AC133)))</f>
        <v>1</v>
      </c>
      <c r="V132" s="385"/>
      <c r="W132" s="197"/>
      <c r="Z132"/>
    </row>
    <row r="133" spans="1:29" ht="15" customHeight="1" x14ac:dyDescent="0.15">
      <c r="C133" s="186"/>
      <c r="D133" s="205" t="s">
        <v>236</v>
      </c>
      <c r="E133" s="188" t="s">
        <v>546</v>
      </c>
      <c r="F133" s="226">
        <v>1</v>
      </c>
      <c r="G133" s="296" t="str">
        <f ca="1">IF(L133="b","",IF(L133="l",0,FIXED(F133,K133,0)&amp;M133))</f>
        <v xml:space="preserve">1    </v>
      </c>
      <c r="H133" s="187" t="s">
        <v>79</v>
      </c>
      <c r="I133" s="189"/>
      <c r="K133" s="215"/>
      <c r="L133" t="str">
        <f t="shared" ca="1" si="22"/>
        <v>v</v>
      </c>
      <c r="M133" t="str">
        <f>REPT(" ",3-K133)&amp;IF(K133=0," ","")</f>
        <v xml:space="preserve">    </v>
      </c>
      <c r="O133" s="194"/>
      <c r="P133" s="208" t="str">
        <f>IF(ISNUMBER(D133),LOOKUP(D133,$AB$5:$AC$7),D133)</f>
        <v>〃</v>
      </c>
      <c r="Q133" s="208" t="str">
        <f t="shared" si="28"/>
        <v xml:space="preserve">600V　EM-CET  60 ㎟     </v>
      </c>
      <c r="R133" s="301" t="str">
        <f t="shared" ca="1" si="23"/>
        <v xml:space="preserve">1    </v>
      </c>
      <c r="S133" s="305" t="str">
        <f>H133</f>
        <v>箇所</v>
      </c>
      <c r="T133" s="502">
        <v>9400</v>
      </c>
      <c r="U133" s="216">
        <f ca="1">IF(L133="l","",IF(D133+F133&gt;0,SUM(Z133:AA133),-1))</f>
        <v>9400</v>
      </c>
      <c r="V133" s="493" t="s">
        <v>713</v>
      </c>
      <c r="W133" s="142"/>
      <c r="Z133" s="114">
        <f>IF(D133&gt;0,0,TRUNC(F133*T133+Y133*X133))</f>
        <v>9400</v>
      </c>
      <c r="AA133" t="b">
        <f>IF($D133=1,SUM(Z$13:Z131)-SUM(AA$13:AA131),IF($D133=2,$AA$6,IF($D133=3,TRUNC($AA$6,-3))))</f>
        <v>0</v>
      </c>
      <c r="AB133">
        <f ca="1">IF(OR(AC$8=0,L132="l",D133&gt;0,U133=-1),0,IF(L132="b",-U133,TRUNC(F132*T133)))</f>
        <v>0</v>
      </c>
      <c r="AC133" t="b">
        <f>IF($D133=1,SUM(AB$13:AB131)-SUM(AC$13:AC131),IF($D133=2,$AA$5,IF($D133=3,TRUNC($AA$5,-3))))</f>
        <v>0</v>
      </c>
    </row>
    <row r="134" spans="1:29" ht="15" customHeight="1" x14ac:dyDescent="0.15">
      <c r="C134" s="182"/>
      <c r="D134" s="210" t="s">
        <v>547</v>
      </c>
      <c r="E134" s="184"/>
      <c r="F134" s="227"/>
      <c r="G134" s="297" t="str">
        <f ca="1">IF(OR(AC$8=0,L134="b"),"",IF(L134="l",0,"("&amp;FIXED(-F134,K135,0)&amp;M134))</f>
        <v/>
      </c>
      <c r="H134" s="183"/>
      <c r="I134" s="185"/>
      <c r="L134" t="str">
        <f t="shared" ca="1" si="22"/>
        <v>b</v>
      </c>
      <c r="M134" t="str">
        <f>")"&amp;REPT(" ",2-K135)&amp;IF(K135=0," ","")</f>
        <v xml:space="preserve">) </v>
      </c>
      <c r="O134" s="194" t="s">
        <v>82</v>
      </c>
      <c r="P134" s="207" t="str">
        <f>D134</f>
        <v>ケーブル　　　　</v>
      </c>
      <c r="Q134" s="207">
        <f t="shared" si="28"/>
        <v>0</v>
      </c>
      <c r="R134" s="300" t="str">
        <f t="shared" ca="1" si="23"/>
        <v/>
      </c>
      <c r="S134" s="304"/>
      <c r="T134" s="369"/>
      <c r="U134" s="206">
        <f ca="1">IF(OR(AC$8=0,SUM(Z135:AC135)=0),1,IF(L134="l","",SUM(AB135:AC135)))</f>
        <v>1</v>
      </c>
      <c r="V134" s="387"/>
      <c r="W134" s="50"/>
      <c r="Z134"/>
    </row>
    <row r="135" spans="1:29" ht="15" customHeight="1" x14ac:dyDescent="0.15">
      <c r="C135" s="186"/>
      <c r="D135" s="205" t="s">
        <v>548</v>
      </c>
      <c r="E135" s="188" t="s">
        <v>5</v>
      </c>
      <c r="F135" s="226">
        <v>37.9</v>
      </c>
      <c r="G135" s="296" t="str">
        <f ca="1">IF(L135="b","",IF(L135="l",0,FIXED(F135,K135,0)&amp;M135))</f>
        <v xml:space="preserve">37.9  </v>
      </c>
      <c r="H135" s="187" t="s">
        <v>8</v>
      </c>
      <c r="I135" s="189"/>
      <c r="K135" s="215">
        <v>1</v>
      </c>
      <c r="L135" t="str">
        <f t="shared" ca="1" si="22"/>
        <v>v</v>
      </c>
      <c r="M135" t="str">
        <f>REPT(" ",3-K135)&amp;IF(K135=0," ","")</f>
        <v xml:space="preserve">  </v>
      </c>
      <c r="O135" s="194"/>
      <c r="P135" s="208" t="str">
        <f>IF(ISNUMBER(D135),LOOKUP(D135,$AB$5:$AC$7),D135)</f>
        <v>　埋設表示シート</v>
      </c>
      <c r="Q135" s="208" t="str">
        <f t="shared" si="28"/>
        <v>塩ビ製　W=150</v>
      </c>
      <c r="R135" s="301" t="str">
        <f t="shared" ca="1" si="23"/>
        <v xml:space="preserve">37.9  </v>
      </c>
      <c r="S135" s="305" t="str">
        <f>H135</f>
        <v>ｍ</v>
      </c>
      <c r="T135" s="370">
        <v>67</v>
      </c>
      <c r="U135" s="216">
        <f ca="1">IF(L135="l","",IF(D135+F135&gt;0,SUM(Z135:AA135),-1))</f>
        <v>2539</v>
      </c>
      <c r="V135" s="388">
        <v>237</v>
      </c>
      <c r="W135" s="107"/>
      <c r="Z135" s="114">
        <f>IF(D135&gt;0,0,TRUNC(F135*T135+Y135*X135))</f>
        <v>2539</v>
      </c>
      <c r="AA135" t="b">
        <f>IF($D135=1,SUM(Z$13:Z133)-SUM(AA$13:AA133),IF($D135=2,$AA$6,IF($D135=3,TRUNC($AA$6,-3))))</f>
        <v>0</v>
      </c>
      <c r="AB135">
        <f ca="1">IF(OR(AC$8=0,L134="l",D135&gt;0,U135=-1),0,IF(L134="b",-U135,TRUNC(F134*T135)))</f>
        <v>0</v>
      </c>
      <c r="AC135" t="b">
        <f>IF($D135=1,SUM(AB$13:AB133)-SUM(AC$13:AC133),IF($D135=2,$AA$5,IF($D135=3,TRUNC($AA$5,-3))))</f>
        <v>0</v>
      </c>
    </row>
    <row r="136" spans="1:29" ht="15" customHeight="1" x14ac:dyDescent="0.15">
      <c r="C136" s="182"/>
      <c r="D136" s="210"/>
      <c r="E136" s="184"/>
      <c r="F136" s="227"/>
      <c r="G136" s="297" t="str">
        <f ca="1">IF(OR(AC$8=0,L136="b"),"",IF(L136="l",0,"("&amp;FIXED(-F136,K137,0)&amp;M136))</f>
        <v/>
      </c>
      <c r="H136" s="183"/>
      <c r="I136" s="185"/>
      <c r="L136" t="str">
        <f t="shared" ca="1" si="22"/>
        <v>b</v>
      </c>
      <c r="M136" t="str">
        <f>")"&amp;REPT(" ",2-K137)&amp;IF(K137=0," ","")</f>
        <v xml:space="preserve">)   </v>
      </c>
      <c r="O136" s="194"/>
      <c r="P136" s="207">
        <f>D136</f>
        <v>0</v>
      </c>
      <c r="Q136" s="207">
        <f t="shared" si="28"/>
        <v>0</v>
      </c>
      <c r="R136" s="300" t="str">
        <f t="shared" ca="1" si="23"/>
        <v/>
      </c>
      <c r="S136" s="304"/>
      <c r="T136" s="369"/>
      <c r="U136" s="206">
        <f ca="1">IF(OR(AC$8=0,SUM(Z137:AC137)=0),1,IF(L136="l","",SUM(AB137:AC137)))</f>
        <v>1</v>
      </c>
      <c r="V136" s="387"/>
      <c r="W136" s="50"/>
      <c r="Z136"/>
    </row>
    <row r="137" spans="1:29" ht="15" customHeight="1" x14ac:dyDescent="0.15">
      <c r="C137" s="186"/>
      <c r="D137" s="205" t="s">
        <v>549</v>
      </c>
      <c r="E137" s="188" t="s">
        <v>550</v>
      </c>
      <c r="F137" s="226">
        <v>3</v>
      </c>
      <c r="G137" s="296" t="str">
        <f ca="1">IF(L137="b","",IF(L137="l",0,FIXED(F137,K137,0)&amp;M137))</f>
        <v xml:space="preserve">3    </v>
      </c>
      <c r="H137" s="187" t="s">
        <v>79</v>
      </c>
      <c r="I137" s="189"/>
      <c r="K137" s="215"/>
      <c r="L137" t="str">
        <f t="shared" ca="1" si="22"/>
        <v>v</v>
      </c>
      <c r="M137" t="str">
        <f>REPT(" ",3-K137)&amp;IF(K137=0," ","")</f>
        <v xml:space="preserve">    </v>
      </c>
      <c r="O137" s="194"/>
      <c r="P137" s="208" t="str">
        <f>IF(ISNUMBER(D137),LOOKUP(D137,$AB$5:$AC$7),D137)</f>
        <v>コンクリート埋設標</v>
      </c>
      <c r="Q137" s="208" t="str">
        <f t="shared" si="28"/>
        <v>ケーブル用</v>
      </c>
      <c r="R137" s="301" t="str">
        <f t="shared" ca="1" si="23"/>
        <v xml:space="preserve">3    </v>
      </c>
      <c r="S137" s="305" t="str">
        <f>H137</f>
        <v>箇所</v>
      </c>
      <c r="T137" s="370">
        <v>2180</v>
      </c>
      <c r="U137" s="216">
        <f ca="1">IF(L137="l","",IF(D137+F137&gt;0,SUM(Z137:AA137),-1))</f>
        <v>6540</v>
      </c>
      <c r="V137" s="388">
        <v>234</v>
      </c>
      <c r="W137" s="107"/>
      <c r="Z137" s="114">
        <f>IF(D137&gt;0,0,TRUNC(F137*T137+Y137*X137))</f>
        <v>6540</v>
      </c>
      <c r="AA137" t="b">
        <f>IF($D137=1,SUM(Z$13:Z135)-SUM(AA$13:AA135),IF($D137=2,$AA$6,IF($D137=3,TRUNC($AA$6,-3))))</f>
        <v>0</v>
      </c>
      <c r="AB137">
        <f ca="1">IF(OR(AC$8=0,L136="l",D137&gt;0,U137=-1),0,IF(L136="b",-U137,TRUNC(F136*T137)))</f>
        <v>0</v>
      </c>
      <c r="AC137" t="b">
        <f>IF($D137=1,SUM(AB$13:AB135)-SUM(AC$13:AC135),IF($D137=2,$AA$5,IF($D137=3,TRUNC($AA$5,-3))))</f>
        <v>0</v>
      </c>
    </row>
    <row r="138" spans="1:29" ht="15" customHeight="1" x14ac:dyDescent="0.15">
      <c r="C138" s="182"/>
      <c r="D138" s="210"/>
      <c r="E138" s="184"/>
      <c r="F138" s="227"/>
      <c r="G138" s="297" t="str">
        <f ca="1">IF(OR(AC$8=0,L138="b"),"",IF(L138="l",0,"("&amp;FIXED(-F138,K139,0)&amp;M138))</f>
        <v/>
      </c>
      <c r="H138" s="183"/>
      <c r="I138" s="185"/>
      <c r="L138" t="str">
        <f t="shared" ca="1" si="22"/>
        <v>b</v>
      </c>
      <c r="M138" t="str">
        <f>")"&amp;REPT(" ",2-K139)&amp;IF(K139=0," ","")</f>
        <v xml:space="preserve">)   </v>
      </c>
      <c r="O138" s="194"/>
      <c r="P138" s="207">
        <f>D138</f>
        <v>0</v>
      </c>
      <c r="Q138" s="207">
        <f t="shared" si="28"/>
        <v>0</v>
      </c>
      <c r="R138" s="300" t="str">
        <f t="shared" ca="1" si="23"/>
        <v/>
      </c>
      <c r="S138" s="304"/>
      <c r="T138" s="369"/>
      <c r="U138" s="206">
        <f ca="1">IF(OR(AC$8=0,SUM(Z139:AC139)=0),1,IF(L138="l","",SUM(AB139:AC139)))</f>
        <v>1</v>
      </c>
      <c r="V138" s="387"/>
      <c r="W138" s="50"/>
      <c r="Z138"/>
    </row>
    <row r="139" spans="1:29" ht="15" customHeight="1" x14ac:dyDescent="0.15">
      <c r="C139" s="186"/>
      <c r="D139" s="205" t="s">
        <v>236</v>
      </c>
      <c r="E139" s="188" t="s">
        <v>551</v>
      </c>
      <c r="F139" s="226">
        <v>3</v>
      </c>
      <c r="G139" s="296" t="str">
        <f ca="1">IF(L139="b","",IF(L139="l",0,FIXED(F139,K139,0)&amp;M139))</f>
        <v xml:space="preserve">3    </v>
      </c>
      <c r="H139" s="187" t="s">
        <v>79</v>
      </c>
      <c r="I139" s="189"/>
      <c r="K139" s="215"/>
      <c r="L139" t="str">
        <f t="shared" ca="1" si="22"/>
        <v>v</v>
      </c>
      <c r="M139" t="str">
        <f>REPT(" ",3-K139)&amp;IF(K139=0," ","")</f>
        <v xml:space="preserve">    </v>
      </c>
      <c r="O139" s="194"/>
      <c r="P139" s="208" t="str">
        <f>IF(ISNUMBER(D139),LOOKUP(D139,$AB$5:$AC$7),D139)</f>
        <v>〃</v>
      </c>
      <c r="Q139" s="208" t="str">
        <f t="shared" si="28"/>
        <v>接地用</v>
      </c>
      <c r="R139" s="301" t="str">
        <f t="shared" ca="1" si="23"/>
        <v xml:space="preserve">3    </v>
      </c>
      <c r="S139" s="305" t="str">
        <f>H139</f>
        <v>箇所</v>
      </c>
      <c r="T139" s="370">
        <v>2180</v>
      </c>
      <c r="U139" s="216">
        <f ca="1">IF(L139="l","",IF(D139+F139&gt;0,SUM(Z139:AA139),-1))</f>
        <v>6540</v>
      </c>
      <c r="V139" s="388">
        <v>234</v>
      </c>
      <c r="W139" s="107"/>
      <c r="Z139" s="114">
        <f>IF(D139&gt;0,0,TRUNC(F139*T139+Y139*X139))</f>
        <v>6540</v>
      </c>
      <c r="AA139" t="b">
        <f>IF($D139=1,SUM(Z$13:Z137)-SUM(AA$13:AA137),IF($D139=2,$AA$6,IF($D139=3,TRUNC($AA$6,-3))))</f>
        <v>0</v>
      </c>
      <c r="AB139">
        <f ca="1">IF(OR(AC$8=0,L138="l",D139&gt;0,U139=-1),0,IF(L138="b",-U139,TRUNC(F138*T139)))</f>
        <v>0</v>
      </c>
      <c r="AC139" t="b">
        <f>IF($D139=1,SUM(AB$13:AB137)-SUM(AC$13:AC137),IF($D139=2,$AA$5,IF($D139=3,TRUNC($AA$5,-3))))</f>
        <v>0</v>
      </c>
    </row>
    <row r="140" spans="1:29" ht="15" customHeight="1" x14ac:dyDescent="0.15">
      <c r="C140" s="182"/>
      <c r="D140" s="210"/>
      <c r="E140" s="184"/>
      <c r="F140" s="227"/>
      <c r="G140" s="297" t="str">
        <f ca="1">IF(OR(AC$8=0,L140="b"),"",IF(L140="l",0,"("&amp;FIXED(-F140,K141,0)&amp;M140))</f>
        <v/>
      </c>
      <c r="H140" s="183"/>
      <c r="I140" s="185"/>
      <c r="L140" t="str">
        <f t="shared" ca="1" si="22"/>
        <v>b</v>
      </c>
      <c r="M140" t="str">
        <f>")"&amp;REPT(" ",2-K141)&amp;IF(K141=0," ","")</f>
        <v xml:space="preserve">)   </v>
      </c>
      <c r="O140" s="194"/>
      <c r="P140" s="207">
        <f>D140</f>
        <v>0</v>
      </c>
      <c r="Q140" s="207">
        <f t="shared" si="28"/>
        <v>0</v>
      </c>
      <c r="R140" s="300" t="str">
        <f t="shared" ca="1" si="23"/>
        <v/>
      </c>
      <c r="S140" s="304"/>
      <c r="T140" s="369"/>
      <c r="U140" s="206">
        <f ca="1">IF(OR(AC$8=0,SUM(Z141:AC141)=0),1,IF(L140="l","",SUM(AB141:AC141)))</f>
        <v>1</v>
      </c>
      <c r="V140" s="387"/>
      <c r="W140" s="50"/>
      <c r="Z140"/>
    </row>
    <row r="141" spans="1:29" ht="15" customHeight="1" x14ac:dyDescent="0.15">
      <c r="C141" s="186"/>
      <c r="D141" s="205" t="s">
        <v>537</v>
      </c>
      <c r="E141" s="188" t="s">
        <v>642</v>
      </c>
      <c r="F141" s="226">
        <v>3</v>
      </c>
      <c r="G141" s="296" t="str">
        <f ca="1">IF(L141="b","",IF(L141="l",0,FIXED(F141,K141,0)&amp;M141))</f>
        <v xml:space="preserve">3    </v>
      </c>
      <c r="H141" s="187" t="s">
        <v>74</v>
      </c>
      <c r="I141" s="189" t="s">
        <v>539</v>
      </c>
      <c r="K141" s="215"/>
      <c r="L141" t="str">
        <f t="shared" ca="1" si="22"/>
        <v>v</v>
      </c>
      <c r="M141" t="str">
        <f>REPT(" ",3-K141)&amp;IF(K141=0," ","")</f>
        <v xml:space="preserve">    </v>
      </c>
      <c r="O141" s="194"/>
      <c r="P141" s="208" t="str">
        <f>IF(ISNUMBER(D141),LOOKUP(D141,$AB$5:$AC$7),D141)</f>
        <v>接　地　銅　棒</v>
      </c>
      <c r="Q141" s="208" t="str">
        <f t="shared" si="28"/>
        <v>D種 φ14×1500L</v>
      </c>
      <c r="R141" s="301" t="str">
        <f t="shared" ca="1" si="23"/>
        <v xml:space="preserve">3    </v>
      </c>
      <c r="S141" s="305" t="str">
        <f>H141</f>
        <v>本</v>
      </c>
      <c r="T141" s="370">
        <v>2090</v>
      </c>
      <c r="U141" s="216">
        <f ca="1">IF(L141="l","",IF(D141+F141&gt;0,SUM(Z141:AA141),-1))</f>
        <v>6270</v>
      </c>
      <c r="V141" s="388">
        <v>229</v>
      </c>
      <c r="W141" s="107" t="str">
        <f>I141</f>
        <v>ED</v>
      </c>
      <c r="Z141" s="114">
        <f>IF(D141&gt;0,0,TRUNC(F141*T141+Y141*X141))</f>
        <v>6270</v>
      </c>
      <c r="AA141" t="b">
        <f>IF($D141=1,SUM(Z$13:Z139)-SUM(AA$13:AA139),IF($D141=2,$AA$6,IF($D141=3,TRUNC($AA$6,-3))))</f>
        <v>0</v>
      </c>
      <c r="AB141">
        <f ca="1">IF(OR(AC$8=0,L140="l",D141&gt;0,U141=-1),0,IF(L140="b",-U141,TRUNC(F140*T141)))</f>
        <v>0</v>
      </c>
      <c r="AC141" t="b">
        <f>IF($D141=1,SUM(AB$13:AB139)-SUM(AC$13:AC139),IF($D141=2,$AA$5,IF($D141=3,TRUNC($AA$5,-3))))</f>
        <v>0</v>
      </c>
    </row>
    <row r="142" spans="1:29" ht="15" customHeight="1" x14ac:dyDescent="0.15">
      <c r="C142" s="182"/>
      <c r="D142" s="210"/>
      <c r="E142" s="184"/>
      <c r="F142" s="227"/>
      <c r="G142" s="297" t="str">
        <f ca="1">IF(OR(AC$8=0,L142="b"),"",IF(L142="l",0,"("&amp;FIXED(-F142,K143,0)&amp;M142))</f>
        <v/>
      </c>
      <c r="H142" s="183"/>
      <c r="I142" s="185"/>
      <c r="L142" t="str">
        <f ca="1">CELL("type",F142)</f>
        <v>b</v>
      </c>
      <c r="M142" t="str">
        <f>")"&amp;REPT(" ",2-K143)&amp;IF(K143=0," ","")</f>
        <v xml:space="preserve">)   </v>
      </c>
      <c r="O142" s="182"/>
      <c r="P142" s="207">
        <f>D142</f>
        <v>0</v>
      </c>
      <c r="Q142" s="207">
        <f>E142</f>
        <v>0</v>
      </c>
      <c r="R142" s="300" t="str">
        <f ca="1">G142</f>
        <v/>
      </c>
      <c r="S142" s="304"/>
      <c r="T142" s="369"/>
      <c r="U142" s="206">
        <f ca="1">IF(OR(AC$8=0,SUM(Z143:AC143)=0),1,IF(L142="l","",SUM(AB143:AC143)))</f>
        <v>1</v>
      </c>
      <c r="V142" s="387"/>
      <c r="W142" s="50"/>
      <c r="Z142"/>
    </row>
    <row r="143" spans="1:29" ht="15" customHeight="1" thickBot="1" x14ac:dyDescent="0.2">
      <c r="C143" s="190"/>
      <c r="D143" s="211">
        <v>1</v>
      </c>
      <c r="E143" s="192"/>
      <c r="F143" s="228"/>
      <c r="G143" s="299" t="str">
        <f ca="1">IF(L143="b","",IF(L143="l",0,FIXED(F143,K143,0)&amp;M143))</f>
        <v/>
      </c>
      <c r="H143" s="191"/>
      <c r="I143" s="193"/>
      <c r="K143" s="215"/>
      <c r="L143" t="str">
        <f ca="1">CELL("type",F143)</f>
        <v>b</v>
      </c>
      <c r="M143" t="str">
        <f>REPT(" ",3-K143)&amp;IF(K143=0," ","")</f>
        <v xml:space="preserve">    </v>
      </c>
      <c r="O143" s="190"/>
      <c r="P143" s="209" t="str">
        <f>IF(ISNUMBER(D143),LOOKUP(D143,$AB$5:$AC$7),D143)</f>
        <v>小    　計</v>
      </c>
      <c r="Q143" s="209">
        <f>E143</f>
        <v>0</v>
      </c>
      <c r="R143" s="302" t="str">
        <f ca="1">G143</f>
        <v/>
      </c>
      <c r="S143" s="306">
        <f>H143</f>
        <v>0</v>
      </c>
      <c r="T143" s="371"/>
      <c r="U143" s="217">
        <f ca="1">IF(L143="l","",IF(D143+F143&gt;0,SUM(Z143:AA143),-1))</f>
        <v>475269</v>
      </c>
      <c r="V143" s="391"/>
      <c r="W143" s="55"/>
      <c r="Z143" s="114">
        <f>IF(D143&gt;0,0,TRUNC(F143*T143+Y143*X143))</f>
        <v>0</v>
      </c>
      <c r="AA143">
        <f>IF($D143=1,SUM(Z$13:Z141)-SUM(AA$13:AA141),IF($D143=2,$AA$6,IF($D143=3,TRUNC($AA$6,-3))))</f>
        <v>475269</v>
      </c>
      <c r="AB143">
        <f ca="1">IF(OR(AC$8=0,L142="l",D143&gt;0,U143=-1),0,IF(L142="b",-U143,TRUNC(F142*T143)))</f>
        <v>0</v>
      </c>
      <c r="AC143">
        <f ca="1">IF($D143=1,SUM(AB$13:AB141)-SUM(AC$13:AC141),IF($D143=2,$AA$5,IF($D143=3,TRUNC($AA$5,-3))))</f>
        <v>0</v>
      </c>
    </row>
    <row r="144" spans="1:29" ht="13.5" customHeight="1" thickBot="1" x14ac:dyDescent="0.2">
      <c r="A144" s="257" t="b">
        <f>SUM(F149:F211)&gt;0</f>
        <v>1</v>
      </c>
      <c r="B144" s="257"/>
      <c r="C144" s="257"/>
      <c r="D144" s="257"/>
      <c r="E144" s="257"/>
      <c r="F144" s="257"/>
      <c r="G144" s="487" t="str">
        <f>G74</f>
        <v>電気設備(引込)</v>
      </c>
      <c r="H144" s="257"/>
      <c r="I144" s="257" t="str">
        <f ca="1">"( "&amp;FIXED(SUM(A$8:A144),0)&amp;" ／ "&amp;FIXED(B$8,0)&amp;" )"</f>
        <v>( 3 ／ 3 )</v>
      </c>
      <c r="J144" s="257"/>
      <c r="K144" s="257"/>
      <c r="L144" s="257"/>
      <c r="M144" s="257"/>
      <c r="N144" s="257"/>
      <c r="O144" s="257"/>
      <c r="P144" s="257"/>
      <c r="Q144" s="257"/>
      <c r="R144" s="257"/>
      <c r="S144" s="257"/>
      <c r="T144" s="257"/>
      <c r="U144" s="258" t="str">
        <f>G144</f>
        <v>電気設備(引込)</v>
      </c>
      <c r="V144" s="390"/>
      <c r="W144" s="257" t="str">
        <f ca="1">I144</f>
        <v>( 3 ／ 3 )</v>
      </c>
      <c r="Z144"/>
    </row>
    <row r="145" spans="3:29" ht="13.5" customHeight="1" x14ac:dyDescent="0.15">
      <c r="C145" s="16"/>
      <c r="D145" s="102"/>
      <c r="E145" s="102"/>
      <c r="F145" s="18"/>
      <c r="G145" s="102"/>
      <c r="H145" s="102"/>
      <c r="I145" s="48"/>
      <c r="O145" s="780" t="s">
        <v>258</v>
      </c>
      <c r="P145" s="47"/>
      <c r="Q145" s="47"/>
      <c r="R145" s="102"/>
      <c r="S145" s="47"/>
      <c r="T145" s="109" t="s">
        <v>88</v>
      </c>
      <c r="U145" s="110"/>
      <c r="V145" s="781" t="s">
        <v>257</v>
      </c>
      <c r="W145" s="48"/>
    </row>
    <row r="146" spans="3:29" ht="13.5" customHeight="1" x14ac:dyDescent="0.15">
      <c r="C146" s="24" t="s">
        <v>222</v>
      </c>
      <c r="D146" s="6" t="s">
        <v>223</v>
      </c>
      <c r="E146" s="7" t="s">
        <v>224</v>
      </c>
      <c r="F146" s="25"/>
      <c r="G146" s="6" t="s">
        <v>105</v>
      </c>
      <c r="H146" s="6" t="s">
        <v>92</v>
      </c>
      <c r="I146" s="69" t="s">
        <v>225</v>
      </c>
      <c r="O146" s="752"/>
      <c r="P146" s="6" t="s">
        <v>89</v>
      </c>
      <c r="Q146" s="6" t="s">
        <v>90</v>
      </c>
      <c r="R146" s="7" t="s">
        <v>91</v>
      </c>
      <c r="S146" s="6" t="s">
        <v>92</v>
      </c>
      <c r="T146" s="6" t="s">
        <v>93</v>
      </c>
      <c r="U146" s="6" t="s">
        <v>94</v>
      </c>
      <c r="V146" s="782"/>
      <c r="W146" s="106" t="s">
        <v>226</v>
      </c>
      <c r="Z146"/>
    </row>
    <row r="147" spans="3:29" ht="13.5" customHeight="1" thickBot="1" x14ac:dyDescent="0.2">
      <c r="C147" s="71"/>
      <c r="D147" s="40"/>
      <c r="E147" s="40"/>
      <c r="F147" s="36"/>
      <c r="G147" s="40"/>
      <c r="H147" s="40"/>
      <c r="I147" s="52"/>
      <c r="M147" t="s">
        <v>227</v>
      </c>
      <c r="O147" s="753"/>
      <c r="P147" s="39"/>
      <c r="Q147" s="39"/>
      <c r="R147" s="40"/>
      <c r="S147" s="39"/>
      <c r="T147" s="56" t="s">
        <v>96</v>
      </c>
      <c r="U147" s="56" t="s">
        <v>96</v>
      </c>
      <c r="V147" s="783"/>
      <c r="W147" s="52"/>
    </row>
    <row r="148" spans="3:29" ht="15" customHeight="1" thickTop="1" x14ac:dyDescent="0.15">
      <c r="C148" s="182"/>
      <c r="D148" s="210"/>
      <c r="E148" s="184"/>
      <c r="F148" s="227"/>
      <c r="G148" s="297" t="str">
        <f ca="1">IF(OR(AC$8=0,L148="b"),"",IF(L148="l",0,"("&amp;FIXED(-F148,K149,0)&amp;M148))</f>
        <v/>
      </c>
      <c r="H148" s="183"/>
      <c r="I148" s="185"/>
      <c r="L148" t="str">
        <f t="shared" ref="L148:L157" ca="1" si="29">CELL("type",F148)</f>
        <v>b</v>
      </c>
      <c r="M148" t="str">
        <f>")"&amp;REPT(" ",2-K149)&amp;IF(K149=0," ","")</f>
        <v xml:space="preserve">)   </v>
      </c>
      <c r="O148" s="182"/>
      <c r="P148" s="207">
        <f>D148</f>
        <v>0</v>
      </c>
      <c r="Q148" s="207">
        <f t="shared" ref="Q148:Q157" si="30">E148</f>
        <v>0</v>
      </c>
      <c r="R148" s="300" t="str">
        <f t="shared" ref="R148:R157" ca="1" si="31">G148</f>
        <v/>
      </c>
      <c r="S148" s="304"/>
      <c r="T148" s="369"/>
      <c r="U148" s="206">
        <f ca="1">IF(OR(AC$8=0,SUM(Z149:AC149)=0),1,IF(L148="l","",SUM(AB149:AC149)))</f>
        <v>1</v>
      </c>
      <c r="V148" s="387"/>
      <c r="W148" s="50"/>
      <c r="Z148"/>
    </row>
    <row r="149" spans="3:29" ht="15" customHeight="1" x14ac:dyDescent="0.15">
      <c r="C149" s="186" t="s">
        <v>347</v>
      </c>
      <c r="D149" s="205" t="s">
        <v>485</v>
      </c>
      <c r="E149" s="188" t="s">
        <v>350</v>
      </c>
      <c r="F149" s="226">
        <v>63</v>
      </c>
      <c r="G149" s="296" t="str">
        <f ca="1">IF(L149="b","",IF(L149="l",0,FIXED(F149,K149,0)&amp;M149))</f>
        <v xml:space="preserve">63    </v>
      </c>
      <c r="H149" s="187" t="s">
        <v>555</v>
      </c>
      <c r="I149" s="189"/>
      <c r="K149" s="215"/>
      <c r="L149" t="str">
        <f t="shared" ca="1" si="29"/>
        <v>v</v>
      </c>
      <c r="M149" t="str">
        <f>REPT(" ",3-K149)&amp;IF(K149=0," ","")</f>
        <v xml:space="preserve">    </v>
      </c>
      <c r="O149" s="182"/>
      <c r="P149" s="208" t="str">
        <f>IF(ISNUMBER(D149),LOOKUP(D149,$AB$5:$AC$7),D149)</f>
        <v>掘　　　　　削</v>
      </c>
      <c r="Q149" s="208" t="str">
        <f t="shared" si="30"/>
        <v>ﾊﾞｯｸﾎｳ0.45</v>
      </c>
      <c r="R149" s="301" t="str">
        <f t="shared" ca="1" si="31"/>
        <v xml:space="preserve">63    </v>
      </c>
      <c r="S149" s="305" t="str">
        <f>H149</f>
        <v>㎥</v>
      </c>
      <c r="T149" s="519">
        <v>252</v>
      </c>
      <c r="U149" s="216">
        <f ca="1">IF(L149="l","",IF(D149+F149&gt;0,SUM(Z149:AA149),-1))</f>
        <v>15876</v>
      </c>
      <c r="V149" s="545" t="s">
        <v>489</v>
      </c>
      <c r="W149" s="107"/>
      <c r="Z149" s="114">
        <f>IF(D149&gt;0,0,TRUNC(F149*T149+Y149*X149))</f>
        <v>15876</v>
      </c>
      <c r="AA149" t="b">
        <f>IF($D149=1,SUM(Z$13:Z147)-SUM(AA$13:AA147),IF($D149=2,$AA$6,IF($D149=3,TRUNC($AA$6,-3))))</f>
        <v>0</v>
      </c>
      <c r="AB149">
        <f ca="1">IF(OR(AC$8=0,L148="l",D149&gt;0,U149=-1),0,IF(L148="b",-U149,TRUNC(F148*T149)))</f>
        <v>0</v>
      </c>
      <c r="AC149" t="b">
        <f>IF($D149=1,SUM(AB$13:AB147)-SUM(AC$13:AC147),IF($D149=2,$AA$5,IF($D149=3,TRUNC($AA$5,-3))))</f>
        <v>0</v>
      </c>
    </row>
    <row r="150" spans="3:29" ht="15" customHeight="1" x14ac:dyDescent="0.15">
      <c r="C150" s="182"/>
      <c r="D150" s="210"/>
      <c r="E150" s="184"/>
      <c r="F150" s="227"/>
      <c r="G150" s="297" t="str">
        <f ca="1">IF(OR(AC$8=0,L150="b"),"",IF(L150="l",0,"("&amp;FIXED(-F150,K151,0)&amp;M150))</f>
        <v/>
      </c>
      <c r="H150" s="183"/>
      <c r="I150" s="185"/>
      <c r="L150" t="str">
        <f t="shared" ca="1" si="29"/>
        <v>b</v>
      </c>
      <c r="M150" t="str">
        <f>")"&amp;REPT(" ",2-K151)&amp;IF(K151=0," ","")</f>
        <v xml:space="preserve">)   </v>
      </c>
      <c r="O150" s="194"/>
      <c r="P150" s="207">
        <f>D150</f>
        <v>0</v>
      </c>
      <c r="Q150" s="207">
        <f t="shared" si="30"/>
        <v>0</v>
      </c>
      <c r="R150" s="300" t="str">
        <f t="shared" ca="1" si="31"/>
        <v/>
      </c>
      <c r="S150" s="304"/>
      <c r="T150" s="369"/>
      <c r="U150" s="206">
        <f ca="1">IF(OR(AC$8=0,SUM(Z151:AC151)=0),1,IF(L150="l","",SUM(AB151:AC151)))</f>
        <v>1</v>
      </c>
      <c r="V150" s="546"/>
      <c r="W150" s="50"/>
      <c r="Z150"/>
    </row>
    <row r="151" spans="3:29" ht="15" customHeight="1" x14ac:dyDescent="0.15">
      <c r="C151" s="186"/>
      <c r="D151" s="205" t="s">
        <v>348</v>
      </c>
      <c r="E151" s="188" t="s">
        <v>351</v>
      </c>
      <c r="F151" s="226">
        <v>54</v>
      </c>
      <c r="G151" s="296" t="str">
        <f ca="1">IF(L151="b","",IF(L151="l",0,FIXED(F151,K151,0)&amp;M151))</f>
        <v xml:space="preserve">54    </v>
      </c>
      <c r="H151" s="187" t="s">
        <v>555</v>
      </c>
      <c r="I151" s="189"/>
      <c r="K151" s="215"/>
      <c r="L151" t="str">
        <f t="shared" ca="1" si="29"/>
        <v>v</v>
      </c>
      <c r="M151" t="str">
        <f>REPT(" ",3-K151)&amp;IF(K151=0," ","")</f>
        <v xml:space="preserve">    </v>
      </c>
      <c r="O151" s="194" t="s">
        <v>354</v>
      </c>
      <c r="P151" s="208" t="str">
        <f>IF(ISNUMBER(D151),LOOKUP(D151,$AB$5:$AC$7),D151)</f>
        <v>埋　　　　　戻</v>
      </c>
      <c r="Q151" s="208" t="str">
        <f t="shared" si="30"/>
        <v>ﾊﾞｯｸﾎｳ0.45 + ｺﾝﾊﾟｸﾀⅠ</v>
      </c>
      <c r="R151" s="301" t="str">
        <f t="shared" ca="1" si="31"/>
        <v xml:space="preserve">54    </v>
      </c>
      <c r="S151" s="305" t="str">
        <f>H151</f>
        <v>㎥</v>
      </c>
      <c r="T151" s="519">
        <v>1635</v>
      </c>
      <c r="U151" s="216">
        <f ca="1">IF(L151="l","",IF(D151+F151&gt;0,SUM(Z151:AA151),-1))</f>
        <v>88290</v>
      </c>
      <c r="V151" s="545">
        <v>101</v>
      </c>
      <c r="W151" s="547"/>
      <c r="Z151" s="114">
        <f>IF(D151&gt;0,0,TRUNC(F151*T151+Y151*X151))</f>
        <v>88290</v>
      </c>
      <c r="AA151" t="b">
        <f>IF($D151=1,SUM(Z$13:Z149)-SUM(AA$13:AA149),IF($D151=2,$AA$6,IF($D151=3,TRUNC($AA$6,-3))))</f>
        <v>0</v>
      </c>
      <c r="AB151">
        <f ca="1">IF(OR(AC$8=0,L150="l",D151&gt;0,U151=-1),0,IF(L150="b",-U151,TRUNC(F150*T151)))</f>
        <v>0</v>
      </c>
      <c r="AC151" t="b">
        <f>IF($D151=1,SUM(AB$13:AB149)-SUM(AC$13:AC149),IF($D151=2,$AA$5,IF($D151=3,TRUNC($AA$5,-3))))</f>
        <v>0</v>
      </c>
    </row>
    <row r="152" spans="3:29" ht="15" customHeight="1" x14ac:dyDescent="0.15">
      <c r="C152" s="182"/>
      <c r="D152" s="210"/>
      <c r="E152" s="184"/>
      <c r="F152" s="227"/>
      <c r="G152" s="297" t="str">
        <f ca="1">IF(OR(AC$8=0,L152="b"),"",IF(L152="l",0,"("&amp;FIXED(-F152,K153,0)&amp;M152))</f>
        <v/>
      </c>
      <c r="H152" s="183"/>
      <c r="I152" s="185"/>
      <c r="L152" t="str">
        <f t="shared" ca="1" si="29"/>
        <v>b</v>
      </c>
      <c r="M152" t="str">
        <f>")"&amp;REPT(" ",2-K153)&amp;IF(K153=0," ","")</f>
        <v xml:space="preserve">)   </v>
      </c>
      <c r="O152" s="194"/>
      <c r="P152" s="207">
        <f>D152</f>
        <v>0</v>
      </c>
      <c r="Q152" s="207">
        <f t="shared" si="30"/>
        <v>0</v>
      </c>
      <c r="R152" s="300" t="str">
        <f t="shared" ca="1" si="31"/>
        <v/>
      </c>
      <c r="S152" s="304"/>
      <c r="T152" s="369"/>
      <c r="U152" s="206">
        <f ca="1">IF(OR(AC$8=0,SUM(Z153:AC153)=0),1,IF(L152="l","",SUM(AB153:AC153)))</f>
        <v>1</v>
      </c>
      <c r="V152" s="387"/>
      <c r="W152" s="50"/>
      <c r="Z152"/>
    </row>
    <row r="153" spans="3:29" ht="15" customHeight="1" x14ac:dyDescent="0.15">
      <c r="C153" s="186"/>
      <c r="D153" s="205" t="s">
        <v>553</v>
      </c>
      <c r="E153" s="188" t="s">
        <v>643</v>
      </c>
      <c r="F153" s="226">
        <v>9</v>
      </c>
      <c r="G153" s="296" t="str">
        <f ca="1">IF(L153="b","",IF(L153="l",0,FIXED(F153,K153,0)&amp;M153))</f>
        <v xml:space="preserve">9    </v>
      </c>
      <c r="H153" s="187" t="s">
        <v>555</v>
      </c>
      <c r="I153" s="189"/>
      <c r="K153" s="215"/>
      <c r="L153" t="str">
        <f t="shared" ca="1" si="29"/>
        <v>v</v>
      </c>
      <c r="M153" t="str">
        <f>REPT(" ",3-K153)&amp;IF(K153=0," ","")</f>
        <v xml:space="preserve">    </v>
      </c>
      <c r="O153" s="194"/>
      <c r="P153" s="208" t="str">
        <f>IF(ISNUMBER(D153),LOOKUP(D153,$AB$5:$AC$7),D153)</f>
        <v>残　土　処　分</v>
      </c>
      <c r="Q153" s="208" t="str">
        <f t="shared" si="30"/>
        <v>ﾀﾞﾝﾌﾟﾄﾗｯｸ10t　L=4.0㎞</v>
      </c>
      <c r="R153" s="301" t="str">
        <f t="shared" ca="1" si="31"/>
        <v xml:space="preserve">9    </v>
      </c>
      <c r="S153" s="305" t="str">
        <f>H153</f>
        <v>㎥</v>
      </c>
      <c r="T153" s="519">
        <v>976</v>
      </c>
      <c r="U153" s="216">
        <f ca="1">IF(L153="l","",IF(D153+F153&gt;0,SUM(Z153:AA153),-1))</f>
        <v>8784</v>
      </c>
      <c r="V153" s="545" t="s">
        <v>646</v>
      </c>
      <c r="W153" s="107"/>
      <c r="Z153" s="114">
        <f>IF(D153&gt;0,0,TRUNC(F153*T153+Y153*X153))</f>
        <v>8784</v>
      </c>
      <c r="AA153" t="b">
        <f>IF($D153=1,SUM(Z$13:Z151)-SUM(AA$13:AA151),IF($D153=2,$AA$6,IF($D153=3,TRUNC($AA$6,-3))))</f>
        <v>0</v>
      </c>
      <c r="AB153">
        <f ca="1">IF(OR(AC$8=0,L152="l",D153&gt;0,U153=-1),0,IF(L152="b",-U153,TRUNC(F152*T153)))</f>
        <v>0</v>
      </c>
      <c r="AC153" t="b">
        <f>IF($D153=1,SUM(AB$13:AB151)-SUM(AC$13:AC151),IF($D153=2,$AA$5,IF($D153=3,TRUNC($AA$5,-3))))</f>
        <v>0</v>
      </c>
    </row>
    <row r="154" spans="3:29" ht="15" customHeight="1" x14ac:dyDescent="0.15">
      <c r="C154" s="182"/>
      <c r="D154" s="210"/>
      <c r="E154" s="184" t="s">
        <v>644</v>
      </c>
      <c r="F154" s="227"/>
      <c r="G154" s="297" t="str">
        <f ca="1">IF(OR(AC$8=0,L154="b"),"",IF(L154="l",0,"("&amp;FIXED(-F154,K155,0)&amp;M154))</f>
        <v/>
      </c>
      <c r="H154" s="183"/>
      <c r="I154" s="185"/>
      <c r="L154" t="str">
        <f t="shared" ca="1" si="29"/>
        <v>b</v>
      </c>
      <c r="M154" t="str">
        <f>")"&amp;REPT(" ",2-K155)&amp;IF(K155=0," ","")</f>
        <v xml:space="preserve">)   </v>
      </c>
      <c r="O154" s="194"/>
      <c r="P154" s="207">
        <f>D154</f>
        <v>0</v>
      </c>
      <c r="Q154" s="207" t="str">
        <f t="shared" si="30"/>
        <v>流用土</v>
      </c>
      <c r="R154" s="300" t="str">
        <f t="shared" ca="1" si="31"/>
        <v/>
      </c>
      <c r="S154" s="304"/>
      <c r="T154" s="369"/>
      <c r="U154" s="206">
        <f ca="1">IF(OR(AC$8=0,SUM(Z155:AC155)=0),1,IF(L154="l","",SUM(AB155:AC155)))</f>
        <v>1</v>
      </c>
      <c r="V154" s="546"/>
      <c r="W154" s="50"/>
      <c r="Z154"/>
    </row>
    <row r="155" spans="3:29" ht="15" customHeight="1" x14ac:dyDescent="0.15">
      <c r="C155" s="186"/>
      <c r="D155" s="205" t="s">
        <v>554</v>
      </c>
      <c r="E155" s="188" t="s">
        <v>351</v>
      </c>
      <c r="F155" s="226">
        <v>5</v>
      </c>
      <c r="G155" s="296" t="str">
        <f ca="1">IF(L155="b","",IF(L155="l",0,FIXED(F155,K155,0)&amp;M155))</f>
        <v xml:space="preserve">5    </v>
      </c>
      <c r="H155" s="187" t="s">
        <v>555</v>
      </c>
      <c r="I155" s="189"/>
      <c r="K155" s="215"/>
      <c r="L155" t="str">
        <f t="shared" ca="1" si="29"/>
        <v>v</v>
      </c>
      <c r="M155" t="str">
        <f>REPT(" ",3-K155)&amp;IF(K155=0," ","")</f>
        <v xml:space="preserve">    </v>
      </c>
      <c r="O155" s="194"/>
      <c r="P155" s="208" t="str">
        <f>IF(ISNUMBER(D155),LOOKUP(D155,$AB$5:$AC$7),D155)</f>
        <v>良　　質　　土</v>
      </c>
      <c r="Q155" s="208" t="str">
        <f t="shared" si="30"/>
        <v>ﾊﾞｯｸﾎｳ0.45 + ｺﾝﾊﾟｸﾀⅠ</v>
      </c>
      <c r="R155" s="301" t="str">
        <f t="shared" ca="1" si="31"/>
        <v xml:space="preserve">5    </v>
      </c>
      <c r="S155" s="305" t="str">
        <f>H155</f>
        <v>㎥</v>
      </c>
      <c r="T155" s="519">
        <v>1635</v>
      </c>
      <c r="U155" s="216">
        <f ca="1">IF(L155="l","",IF(D155+F155&gt;0,SUM(Z155:AA155),-1))</f>
        <v>8175</v>
      </c>
      <c r="V155" s="545">
        <v>102</v>
      </c>
      <c r="W155" s="547"/>
      <c r="Z155" s="114">
        <f>IF(D155&gt;0,0,TRUNC(F155*T155+Y155*X155))</f>
        <v>8175</v>
      </c>
      <c r="AA155" t="b">
        <f>IF($D155=1,SUM(Z$13:Z153)-SUM(AA$13:AA153),IF($D155=2,$AA$6,IF($D155=3,TRUNC($AA$6,-3))))</f>
        <v>0</v>
      </c>
      <c r="AB155">
        <f ca="1">IF(OR(AC$8=0,L154="l",D155&gt;0,U155=-1),0,IF(L154="b",-U155,TRUNC(F154*T155)))</f>
        <v>0</v>
      </c>
      <c r="AC155" t="b">
        <f>IF($D155=1,SUM(AB$13:AB153)-SUM(AC$13:AC153),IF($D155=2,$AA$5,IF($D155=3,TRUNC($AA$5,-3))))</f>
        <v>0</v>
      </c>
    </row>
    <row r="156" spans="3:29" ht="15" customHeight="1" x14ac:dyDescent="0.15">
      <c r="C156" s="182"/>
      <c r="D156" s="210"/>
      <c r="E156" s="184"/>
      <c r="F156" s="227"/>
      <c r="G156" s="297" t="str">
        <f ca="1">IF(OR(AC$8=0,L156="b"),"",IF(L156="l",0,"("&amp;FIXED(-F156,K157,0)&amp;M156))</f>
        <v/>
      </c>
      <c r="H156" s="183"/>
      <c r="I156" s="185"/>
      <c r="L156" t="str">
        <f t="shared" ca="1" si="29"/>
        <v>b</v>
      </c>
      <c r="M156" t="str">
        <f>")"&amp;REPT(" ",2-K157)&amp;IF(K157=0," ","")</f>
        <v xml:space="preserve">)   </v>
      </c>
      <c r="O156" s="194" t="s">
        <v>253</v>
      </c>
      <c r="P156" s="207">
        <f>D156</f>
        <v>0</v>
      </c>
      <c r="Q156" s="207">
        <f t="shared" si="30"/>
        <v>0</v>
      </c>
      <c r="R156" s="300" t="str">
        <f t="shared" ca="1" si="31"/>
        <v/>
      </c>
      <c r="S156" s="304"/>
      <c r="T156" s="369"/>
      <c r="U156" s="206">
        <f ca="1">IF(OR(AC$8=0,SUM(Z157:AC157)=0),1,IF(L156="l","",SUM(AB157:AC157)))</f>
        <v>1</v>
      </c>
      <c r="V156" s="387"/>
      <c r="W156" s="50"/>
      <c r="Z156"/>
    </row>
    <row r="157" spans="3:29" ht="15" customHeight="1" x14ac:dyDescent="0.15">
      <c r="C157" s="186"/>
      <c r="D157" s="205" t="s">
        <v>358</v>
      </c>
      <c r="E157" s="188" t="s">
        <v>359</v>
      </c>
      <c r="F157" s="226">
        <v>42</v>
      </c>
      <c r="G157" s="296" t="str">
        <f ca="1">IF(L157="b","",IF(L157="l",0,FIXED(F157,K157,0)&amp;M157))</f>
        <v xml:space="preserve">42    </v>
      </c>
      <c r="H157" s="187" t="s">
        <v>556</v>
      </c>
      <c r="I157" s="189"/>
      <c r="K157" s="215"/>
      <c r="L157" t="str">
        <f t="shared" ca="1" si="29"/>
        <v>v</v>
      </c>
      <c r="M157" t="str">
        <f>REPT(" ",3-K157)&amp;IF(K157=0," ","")</f>
        <v xml:space="preserve">    </v>
      </c>
      <c r="O157" s="194"/>
      <c r="P157" s="208" t="str">
        <f>IF(ISNUMBER(D157),LOOKUP(D157,$AB$5:$AC$7),D157)</f>
        <v>基　面　整　正</v>
      </c>
      <c r="Q157" s="208" t="str">
        <f t="shared" si="30"/>
        <v>機械掘削面</v>
      </c>
      <c r="R157" s="301" t="str">
        <f t="shared" ca="1" si="31"/>
        <v xml:space="preserve">42    </v>
      </c>
      <c r="S157" s="305" t="str">
        <f>H157</f>
        <v>㎡</v>
      </c>
      <c r="T157" s="519">
        <v>298</v>
      </c>
      <c r="U157" s="216">
        <f ca="1">IF(L157="l","",IF(D157+F157&gt;0,SUM(Z157:AA157),-1))</f>
        <v>12516</v>
      </c>
      <c r="V157" s="545" t="s">
        <v>647</v>
      </c>
      <c r="W157" s="107"/>
      <c r="Z157" s="114">
        <f>IF(D157&gt;0,0,TRUNC(F157*T157+Y157*X157))</f>
        <v>12516</v>
      </c>
      <c r="AA157" t="b">
        <f>IF($D157=1,SUM(Z$13:Z155)-SUM(AA$13:AA155),IF($D157=2,$AA$6,IF($D157=3,TRUNC($AA$6,-3))))</f>
        <v>0</v>
      </c>
      <c r="AB157">
        <f ca="1">IF(OR(AC$8=0,L156="l",D157&gt;0,U157=-1),0,IF(L156="b",-U157,TRUNC(F156*T157)))</f>
        <v>0</v>
      </c>
      <c r="AC157" t="b">
        <f>IF($D157=1,SUM(AB$13:AB155)-SUM(AC$13:AC155),IF($D157=2,$AA$5,IF($D157=3,TRUNC($AA$5,-3))))</f>
        <v>0</v>
      </c>
    </row>
    <row r="158" spans="3:29" ht="15" customHeight="1" x14ac:dyDescent="0.15">
      <c r="C158" s="182"/>
      <c r="D158" s="210"/>
      <c r="E158" s="184"/>
      <c r="F158" s="227"/>
      <c r="G158" s="297" t="str">
        <f ca="1">IF(OR(AC$8=0,L158="b"),"",IF(L158="l",0,"("&amp;FIXED(-F158,K159,0)&amp;M158))</f>
        <v/>
      </c>
      <c r="H158" s="183"/>
      <c r="I158" s="185"/>
      <c r="L158" t="str">
        <f t="shared" ref="L158:L169" ca="1" si="32">CELL("type",F158)</f>
        <v>b</v>
      </c>
      <c r="M158" t="str">
        <f>")"&amp;REPT(" ",2-K159)&amp;IF(K159=0," ","")</f>
        <v xml:space="preserve">)   </v>
      </c>
      <c r="O158" s="194"/>
      <c r="P158" s="207">
        <f>D158</f>
        <v>0</v>
      </c>
      <c r="Q158" s="207">
        <f>E158</f>
        <v>0</v>
      </c>
      <c r="R158" s="300" t="str">
        <f t="shared" ref="R158:R169" ca="1" si="33">G158</f>
        <v/>
      </c>
      <c r="S158" s="304"/>
      <c r="T158" s="369"/>
      <c r="U158" s="206">
        <f ca="1">IF(OR(AC$8=0,SUM(Z159:AC159)=0),1,IF(L158="l","",SUM(AB159:AC159)))</f>
        <v>1</v>
      </c>
      <c r="V158" s="387"/>
      <c r="W158" s="50"/>
      <c r="Z158"/>
    </row>
    <row r="159" spans="3:29" ht="15" customHeight="1" x14ac:dyDescent="0.15">
      <c r="C159" s="186"/>
      <c r="D159" s="205"/>
      <c r="E159" s="188"/>
      <c r="F159" s="226"/>
      <c r="G159" s="296" t="str">
        <f ca="1">IF(L159="b","",IF(L159="l",0,FIXED(F159,K159,0)&amp;M159))</f>
        <v/>
      </c>
      <c r="H159" s="187"/>
      <c r="I159" s="189"/>
      <c r="K159" s="215"/>
      <c r="L159" t="str">
        <f t="shared" ca="1" si="32"/>
        <v>b</v>
      </c>
      <c r="M159" t="str">
        <f>REPT(" ",3-K159)&amp;IF(K159=0," ","")</f>
        <v xml:space="preserve">    </v>
      </c>
      <c r="O159" s="194"/>
      <c r="P159" s="208">
        <f>IF(ISNUMBER(D159),LOOKUP(D159,$AB$5:$AC$7),D159)</f>
        <v>0</v>
      </c>
      <c r="Q159" s="208">
        <f t="shared" ref="Q159:Q169" si="34">E159</f>
        <v>0</v>
      </c>
      <c r="R159" s="301" t="str">
        <f t="shared" ca="1" si="33"/>
        <v/>
      </c>
      <c r="S159" s="305">
        <f>H159</f>
        <v>0</v>
      </c>
      <c r="T159" s="370"/>
      <c r="U159" s="216">
        <f ca="1">IF(L159="l","",IF(D159+F159&gt;0,SUM(Z159:AA159),-1))</f>
        <v>-1</v>
      </c>
      <c r="V159" s="388"/>
      <c r="W159" s="107"/>
      <c r="Z159" s="114">
        <f>IF(D159&gt;0,0,TRUNC(F159*T159+Y159*X159))</f>
        <v>0</v>
      </c>
      <c r="AA159" t="b">
        <f>IF($D159=1,SUM(Z$13:Z157)-SUM(AA$13:AA157),IF($D159=2,$AA$6,IF($D159=3,TRUNC($AA$6,-3))))</f>
        <v>0</v>
      </c>
      <c r="AB159">
        <f ca="1">IF(OR(AC$8=0,L158="l",D159&gt;0,U159=-1),0,IF(L158="b",-U159,TRUNC(F158*T159)))</f>
        <v>0</v>
      </c>
      <c r="AC159" t="b">
        <f>IF($D159=1,SUM(AB$13:AB157)-SUM(AC$13:AC157),IF($D159=2,$AA$5,IF($D159=3,TRUNC($AA$5,-3))))</f>
        <v>0</v>
      </c>
    </row>
    <row r="160" spans="3:29" ht="15" customHeight="1" x14ac:dyDescent="0.15">
      <c r="C160" s="182"/>
      <c r="D160" s="210"/>
      <c r="E160" s="184"/>
      <c r="F160" s="227"/>
      <c r="G160" s="297" t="str">
        <f ca="1">IF(OR(AC$8=0,L160="b"),"",IF(L160="l",0,"("&amp;FIXED(-F160,K161,0)&amp;M160))</f>
        <v/>
      </c>
      <c r="H160" s="183"/>
      <c r="I160" s="185"/>
      <c r="L160" t="str">
        <f t="shared" ca="1" si="32"/>
        <v>b</v>
      </c>
      <c r="M160" t="str">
        <f>")"&amp;REPT(" ",2-K161)&amp;IF(K161=0," ","")</f>
        <v xml:space="preserve">)   </v>
      </c>
      <c r="O160" s="194"/>
      <c r="P160" s="207">
        <f>D160</f>
        <v>0</v>
      </c>
      <c r="Q160" s="207">
        <f t="shared" si="34"/>
        <v>0</v>
      </c>
      <c r="R160" s="300" t="str">
        <f t="shared" ca="1" si="33"/>
        <v/>
      </c>
      <c r="S160" s="304"/>
      <c r="T160" s="369"/>
      <c r="U160" s="206">
        <f ca="1">IF(OR(AC$8=0,SUM(Z161:AC161)=0),1,IF(L160="l","",SUM(AB161:AC161)))</f>
        <v>1</v>
      </c>
      <c r="V160" s="387"/>
      <c r="W160" s="50"/>
      <c r="Z160"/>
    </row>
    <row r="161" spans="3:29" ht="15" customHeight="1" x14ac:dyDescent="0.15">
      <c r="C161" s="186"/>
      <c r="D161" s="205">
        <v>1</v>
      </c>
      <c r="E161" s="188"/>
      <c r="F161" s="226"/>
      <c r="G161" s="296" t="str">
        <f ca="1">IF(L161="b","",IF(L161="l",0,FIXED(F161,K161,0)&amp;M161))</f>
        <v/>
      </c>
      <c r="H161" s="187"/>
      <c r="I161" s="189"/>
      <c r="K161" s="215"/>
      <c r="L161" t="str">
        <f t="shared" ca="1" si="32"/>
        <v>b</v>
      </c>
      <c r="M161" t="str">
        <f>REPT(" ",3-K161)&amp;IF(K161=0," ","")</f>
        <v xml:space="preserve">    </v>
      </c>
      <c r="O161" s="194"/>
      <c r="P161" s="208" t="str">
        <f>IF(ISNUMBER(D161),LOOKUP(D161,$AB$5:$AC$7),D161)</f>
        <v>小    　計</v>
      </c>
      <c r="Q161" s="208">
        <f t="shared" si="34"/>
        <v>0</v>
      </c>
      <c r="R161" s="301" t="str">
        <f t="shared" ca="1" si="33"/>
        <v/>
      </c>
      <c r="S161" s="305">
        <f>H161</f>
        <v>0</v>
      </c>
      <c r="T161" s="370"/>
      <c r="U161" s="216">
        <f ca="1">IF(L161="l","",IF(D161+F161&gt;0,SUM(Z161:AA161),-1))</f>
        <v>133641</v>
      </c>
      <c r="V161" s="418"/>
      <c r="W161" s="107"/>
      <c r="Z161" s="114">
        <f>IF(D161&gt;0,0,TRUNC(F161*T161+Y161*X161))</f>
        <v>0</v>
      </c>
      <c r="AA161">
        <f>IF($D161=1,SUM(Z$13:Z159)-SUM(AA$13:AA159),IF($D161=2,$AA$6,IF($D161=3,TRUNC($AA$6,-3))))</f>
        <v>133641</v>
      </c>
      <c r="AB161">
        <f ca="1">IF(OR(AC$8=0,L160="l",D161&gt;0,U161=-1),0,IF(L160="b",-U161,TRUNC(F160*T161)))</f>
        <v>0</v>
      </c>
      <c r="AC161">
        <f ca="1">IF($D161=1,SUM(AB$13:AB159)-SUM(AC$13:AC159),IF($D161=2,$AA$5,IF($D161=3,TRUNC($AA$5,-3))))</f>
        <v>0</v>
      </c>
    </row>
    <row r="162" spans="3:29" ht="15" customHeight="1" x14ac:dyDescent="0.15">
      <c r="C162" s="182"/>
      <c r="D162" s="210"/>
      <c r="E162" s="184"/>
      <c r="F162" s="227"/>
      <c r="G162" s="297" t="str">
        <f ca="1">IF(OR(AC$8=0,L162="b"),"",IF(L162="l",0,"("&amp;FIXED(-F162,K163,0)&amp;M162))</f>
        <v/>
      </c>
      <c r="H162" s="183"/>
      <c r="I162" s="185"/>
      <c r="L162" t="str">
        <f t="shared" ca="1" si="32"/>
        <v>b</v>
      </c>
      <c r="M162" t="str">
        <f>")"&amp;REPT(" ",2-K163)&amp;IF(K163=0," ","")</f>
        <v xml:space="preserve">) </v>
      </c>
      <c r="O162" s="194"/>
      <c r="P162" s="207">
        <f>D162</f>
        <v>0</v>
      </c>
      <c r="Q162" s="207">
        <f t="shared" si="34"/>
        <v>0</v>
      </c>
      <c r="R162" s="300" t="str">
        <f t="shared" ca="1" si="33"/>
        <v/>
      </c>
      <c r="S162" s="304"/>
      <c r="T162" s="369"/>
      <c r="U162" s="206">
        <f ca="1">IF(OR(AC$8=0,SUM(Z163:AC163)=0),1,IF(L162="l","",SUM(AB163:AC163)))</f>
        <v>1</v>
      </c>
      <c r="V162" s="387"/>
      <c r="W162" s="50"/>
      <c r="Z162"/>
    </row>
    <row r="163" spans="3:29" ht="15" customHeight="1" x14ac:dyDescent="0.15">
      <c r="C163" s="186" t="s">
        <v>583</v>
      </c>
      <c r="D163" s="205" t="s">
        <v>349</v>
      </c>
      <c r="E163" s="188" t="s">
        <v>6</v>
      </c>
      <c r="F163" s="226">
        <v>0.5</v>
      </c>
      <c r="G163" s="296" t="str">
        <f ca="1">IF(L163="b","",IF(L163="l",0,FIXED(F163,K163,0)&amp;M163))</f>
        <v xml:space="preserve">0.5  </v>
      </c>
      <c r="H163" s="187" t="s">
        <v>556</v>
      </c>
      <c r="I163" s="189"/>
      <c r="K163" s="215">
        <v>1</v>
      </c>
      <c r="L163" t="str">
        <f t="shared" ca="1" si="32"/>
        <v>v</v>
      </c>
      <c r="M163" t="str">
        <f>REPT(" ",3-K163)&amp;IF(K163=0," ","")</f>
        <v xml:space="preserve">  </v>
      </c>
      <c r="O163" s="194" t="s">
        <v>472</v>
      </c>
      <c r="P163" s="208" t="str">
        <f>IF(ISNUMBER(D163),LOOKUP(D163,$AB$5:$AC$7),D163)</f>
        <v>砂　利　地　業</v>
      </c>
      <c r="Q163" s="208" t="str">
        <f t="shared" si="34"/>
        <v>RC-40 t=0.10m</v>
      </c>
      <c r="R163" s="301" t="str">
        <f t="shared" ca="1" si="33"/>
        <v xml:space="preserve">0.5  </v>
      </c>
      <c r="S163" s="305" t="str">
        <f>H163</f>
        <v>㎡</v>
      </c>
      <c r="T163" s="519">
        <v>989</v>
      </c>
      <c r="U163" s="216">
        <f ca="1">IF(L163="l","",IF(D163+F163&gt;0,SUM(Z163:AA163),-1))</f>
        <v>494</v>
      </c>
      <c r="V163" s="545" t="s">
        <v>775</v>
      </c>
      <c r="W163" s="107"/>
      <c r="Z163" s="114">
        <f>IF(D163&gt;0,0,TRUNC(F163*T163+Y163*X163))</f>
        <v>494</v>
      </c>
      <c r="AA163" t="b">
        <f>IF($D163=1,SUM(Z$13:Z161)-SUM(AA$13:AA161),IF($D163=2,$AA$6,IF($D163=3,TRUNC($AA$6,-3))))</f>
        <v>0</v>
      </c>
      <c r="AB163">
        <f ca="1">IF(OR(AC$8=0,L162="l",D163&gt;0,U163=-1),0,IF(L162="b",-U163,TRUNC(F162*T163)))</f>
        <v>0</v>
      </c>
      <c r="AC163" t="b">
        <f>IF($D163=1,SUM(AB$13:AB161)-SUM(AC$13:AC161),IF($D163=2,$AA$5,IF($D163=3,TRUNC($AA$5,-3))))</f>
        <v>0</v>
      </c>
    </row>
    <row r="164" spans="3:29" ht="15" customHeight="1" x14ac:dyDescent="0.15">
      <c r="C164" s="182"/>
      <c r="D164" s="210"/>
      <c r="E164" s="184"/>
      <c r="F164" s="227"/>
      <c r="G164" s="297" t="str">
        <f ca="1">IF(OR(AC$8=0,L164="b"),"",IF(L164="l",0,"("&amp;FIXED(-F164,K165,0)&amp;M164))</f>
        <v/>
      </c>
      <c r="H164" s="183"/>
      <c r="I164" s="185"/>
      <c r="L164" t="str">
        <f t="shared" ca="1" si="32"/>
        <v>b</v>
      </c>
      <c r="M164" t="str">
        <f>")"&amp;REPT(" ",2-K165)&amp;IF(K165=0," ","")</f>
        <v xml:space="preserve">) </v>
      </c>
      <c r="O164" s="194"/>
      <c r="P164" s="207">
        <f>D164</f>
        <v>0</v>
      </c>
      <c r="Q164" s="207">
        <f t="shared" si="34"/>
        <v>0</v>
      </c>
      <c r="R164" s="300" t="str">
        <f t="shared" ca="1" si="33"/>
        <v/>
      </c>
      <c r="S164" s="304"/>
      <c r="T164" s="369"/>
      <c r="U164" s="206">
        <f ca="1">IF(OR(AC$8=0,SUM(Z165:AC165)=0),1,IF(L164="l","",SUM(AB165:AC165)))</f>
        <v>1</v>
      </c>
      <c r="V164" s="387"/>
      <c r="W164" s="50"/>
      <c r="Z164"/>
    </row>
    <row r="165" spans="3:29" ht="15" customHeight="1" x14ac:dyDescent="0.15">
      <c r="C165" s="186"/>
      <c r="D165" s="205" t="s">
        <v>498</v>
      </c>
      <c r="E165" s="188" t="s">
        <v>557</v>
      </c>
      <c r="F165" s="226">
        <v>0.3</v>
      </c>
      <c r="G165" s="296" t="str">
        <f ca="1">IF(L165="b","",IF(L165="l",0,FIXED(F165,K165,0)&amp;M165))</f>
        <v xml:space="preserve">0.3  </v>
      </c>
      <c r="H165" s="187" t="s">
        <v>555</v>
      </c>
      <c r="I165" s="189"/>
      <c r="K165" s="215">
        <v>1</v>
      </c>
      <c r="L165" t="str">
        <f t="shared" ca="1" si="32"/>
        <v>v</v>
      </c>
      <c r="M165" t="str">
        <f>REPT(" ",3-K165)&amp;IF(K165=0," ","")</f>
        <v xml:space="preserve">  </v>
      </c>
      <c r="O165" s="194" t="s">
        <v>584</v>
      </c>
      <c r="P165" s="208" t="str">
        <f>IF(ISNUMBER(D165),LOOKUP(D165,$AB$5:$AC$7),D165)</f>
        <v>均しコンクリート</v>
      </c>
      <c r="Q165" s="208" t="str">
        <f t="shared" si="34"/>
        <v>18N/㎟－25－8</v>
      </c>
      <c r="R165" s="301" t="str">
        <f t="shared" ca="1" si="33"/>
        <v xml:space="preserve">0.3  </v>
      </c>
      <c r="S165" s="305" t="str">
        <f>H165</f>
        <v>㎥</v>
      </c>
      <c r="T165" s="519">
        <v>20226</v>
      </c>
      <c r="U165" s="216">
        <f ca="1">IF(L165="l","",IF(D165+F165&gt;0,SUM(Z165:AA165),-1))</f>
        <v>6067</v>
      </c>
      <c r="V165" s="545" t="s">
        <v>648</v>
      </c>
      <c r="W165" s="107"/>
      <c r="Z165" s="114">
        <f>IF(D165&gt;0,0,TRUNC(F165*T165+Y165*X165))</f>
        <v>6067</v>
      </c>
      <c r="AA165" t="b">
        <f>IF($D165=1,SUM(Z$13:Z163)-SUM(AA$13:AA163),IF($D165=2,$AA$6,IF($D165=3,TRUNC($AA$6,-3))))</f>
        <v>0</v>
      </c>
      <c r="AB165">
        <f ca="1">IF(OR(AC$8=0,L164="l",D165&gt;0,U165=-1),0,IF(L164="b",-U165,TRUNC(F164*T165)))</f>
        <v>0</v>
      </c>
      <c r="AC165" t="b">
        <f>IF($D165=1,SUM(AB$13:AB163)-SUM(AC$13:AC163),IF($D165=2,$AA$5,IF($D165=3,TRUNC($AA$5,-3))))</f>
        <v>0</v>
      </c>
    </row>
    <row r="166" spans="3:29" ht="15" customHeight="1" x14ac:dyDescent="0.15">
      <c r="C166" s="182"/>
      <c r="D166" s="210"/>
      <c r="E166" s="184"/>
      <c r="F166" s="227"/>
      <c r="G166" s="297" t="str">
        <f ca="1">IF(OR(AC$8=0,L166="b"),"",IF(L166="l",0,"("&amp;FIXED(-F166,K167,0)&amp;M166))</f>
        <v/>
      </c>
      <c r="H166" s="183"/>
      <c r="I166" s="185"/>
      <c r="L166" t="str">
        <f t="shared" ca="1" si="32"/>
        <v>b</v>
      </c>
      <c r="M166" t="str">
        <f>")"&amp;REPT(" ",2-K167)&amp;IF(K167=0," ","")</f>
        <v xml:space="preserve">)   </v>
      </c>
      <c r="O166" s="194"/>
      <c r="P166" s="207">
        <f>D166</f>
        <v>0</v>
      </c>
      <c r="Q166" s="207">
        <f t="shared" si="34"/>
        <v>0</v>
      </c>
      <c r="R166" s="300" t="str">
        <f t="shared" ca="1" si="33"/>
        <v/>
      </c>
      <c r="S166" s="304"/>
      <c r="T166" s="369"/>
      <c r="U166" s="206">
        <f ca="1">IF(OR(AC$8=0,SUM(Z167:AC167)=0),1,IF(L166="l","",SUM(AB167:AC167)))</f>
        <v>1</v>
      </c>
      <c r="V166" s="387"/>
      <c r="W166" s="50"/>
      <c r="Z166"/>
    </row>
    <row r="167" spans="3:29" ht="15" customHeight="1" x14ac:dyDescent="0.15">
      <c r="C167" s="186"/>
      <c r="D167" s="205"/>
      <c r="E167" s="188"/>
      <c r="F167" s="226"/>
      <c r="G167" s="296" t="str">
        <f ca="1">IF(L167="b","",IF(L167="l",0,FIXED(F167,K167,0)&amp;M167))</f>
        <v/>
      </c>
      <c r="H167" s="187"/>
      <c r="I167" s="189"/>
      <c r="K167" s="215"/>
      <c r="L167" t="str">
        <f t="shared" ca="1" si="32"/>
        <v>b</v>
      </c>
      <c r="M167" t="str">
        <f>REPT(" ",3-K167)&amp;IF(K167=0," ","")</f>
        <v xml:space="preserve">    </v>
      </c>
      <c r="O167" s="194" t="s">
        <v>253</v>
      </c>
      <c r="P167" s="208">
        <f>IF(ISNUMBER(D167),LOOKUP(D167,$AB$5:$AC$7),D167)</f>
        <v>0</v>
      </c>
      <c r="Q167" s="208">
        <f t="shared" si="34"/>
        <v>0</v>
      </c>
      <c r="R167" s="301" t="str">
        <f t="shared" ca="1" si="33"/>
        <v/>
      </c>
      <c r="S167" s="305">
        <f>H167</f>
        <v>0</v>
      </c>
      <c r="T167" s="370"/>
      <c r="U167" s="216">
        <f ca="1">IF(L167="l","",IF(D167+F167&gt;0,SUM(Z167:AA167),-1))</f>
        <v>-1</v>
      </c>
      <c r="V167" s="472"/>
      <c r="W167" s="107"/>
      <c r="Z167" s="114">
        <f>IF(D167&gt;0,0,TRUNC(F167*T167+Y167*X167))</f>
        <v>0</v>
      </c>
      <c r="AA167" t="b">
        <f>IF($D167=1,SUM(Z$13:Z165)-SUM(AA$13:AA165),IF($D167=2,$AA$6,IF($D167=3,TRUNC($AA$6,-3))))</f>
        <v>0</v>
      </c>
      <c r="AB167">
        <f ca="1">IF(OR(AC$8=0,L166="l",D167&gt;0,U167=-1),0,IF(L166="b",-U167,TRUNC(F166*T167)))</f>
        <v>0</v>
      </c>
      <c r="AC167" t="b">
        <f>IF($D167=1,SUM(AB$13:AB165)-SUM(AC$13:AC165),IF($D167=2,$AA$5,IF($D167=3,TRUNC($AA$5,-3))))</f>
        <v>0</v>
      </c>
    </row>
    <row r="168" spans="3:29" ht="15" customHeight="1" x14ac:dyDescent="0.15">
      <c r="C168" s="182"/>
      <c r="D168" s="210"/>
      <c r="E168" s="184"/>
      <c r="F168" s="227"/>
      <c r="G168" s="297" t="str">
        <f ca="1">IF(OR(AC$8=0,L168="b"),"",IF(L168="l",0,"("&amp;FIXED(-F168,K169,0)&amp;M168))</f>
        <v/>
      </c>
      <c r="H168" s="183"/>
      <c r="I168" s="185"/>
      <c r="L168" t="str">
        <f t="shared" ca="1" si="32"/>
        <v>b</v>
      </c>
      <c r="M168" t="str">
        <f>")"&amp;REPT(" ",2-K169)&amp;IF(K169=0," ","")</f>
        <v xml:space="preserve">)   </v>
      </c>
      <c r="O168" s="194"/>
      <c r="P168" s="207">
        <f>D168</f>
        <v>0</v>
      </c>
      <c r="Q168" s="207">
        <f t="shared" si="34"/>
        <v>0</v>
      </c>
      <c r="R168" s="300" t="str">
        <f t="shared" ca="1" si="33"/>
        <v/>
      </c>
      <c r="S168" s="304"/>
      <c r="T168" s="369"/>
      <c r="U168" s="206">
        <f ca="1">IF(OR(AC$8=0,SUM(Z169:AC169)=0),1,IF(L168="l","",SUM(AB169:AC169)))</f>
        <v>1</v>
      </c>
      <c r="V168" s="387"/>
      <c r="W168" s="50"/>
      <c r="Z168"/>
    </row>
    <row r="169" spans="3:29" ht="15" customHeight="1" x14ac:dyDescent="0.15">
      <c r="C169" s="186"/>
      <c r="D169" s="205">
        <v>1</v>
      </c>
      <c r="E169" s="188"/>
      <c r="F169" s="226"/>
      <c r="G169" s="296" t="str">
        <f ca="1">IF(L169="b","",IF(L169="l",0,FIXED(F169,K169,0)&amp;M169))</f>
        <v/>
      </c>
      <c r="H169" s="187"/>
      <c r="I169" s="189"/>
      <c r="K169" s="215"/>
      <c r="L169" t="str">
        <f t="shared" ca="1" si="32"/>
        <v>b</v>
      </c>
      <c r="M169" t="str">
        <f>REPT(" ",3-K169)&amp;IF(K169=0," ","")</f>
        <v xml:space="preserve">    </v>
      </c>
      <c r="O169" s="194"/>
      <c r="P169" s="208" t="str">
        <f>IF(ISNUMBER(D169),LOOKUP(D169,$AB$5:$AC$7),D169)</f>
        <v>小    　計</v>
      </c>
      <c r="Q169" s="208">
        <f t="shared" si="34"/>
        <v>0</v>
      </c>
      <c r="R169" s="301" t="str">
        <f t="shared" ca="1" si="33"/>
        <v/>
      </c>
      <c r="S169" s="305">
        <f>H169</f>
        <v>0</v>
      </c>
      <c r="T169" s="370"/>
      <c r="U169" s="216">
        <f ca="1">IF(L169="l","",IF(D169+F169&gt;0,SUM(Z169:AA169),-1))</f>
        <v>6561</v>
      </c>
      <c r="V169" s="472"/>
      <c r="W169" s="107"/>
      <c r="Z169" s="114">
        <f>IF(D169&gt;0,0,TRUNC(F169*T169+Y169*X169))</f>
        <v>0</v>
      </c>
      <c r="AA169">
        <f>IF($D169=1,SUM(Z$13:Z167)-SUM(AA$13:AA167),IF($D169=2,$AA$6,IF($D169=3,TRUNC($AA$6,-3))))</f>
        <v>6561</v>
      </c>
      <c r="AB169">
        <f ca="1">IF(OR(AC$8=0,L168="l",D169&gt;0,U169=-1),0,IF(L168="b",-U169,TRUNC(F168*T169)))</f>
        <v>0</v>
      </c>
      <c r="AC169">
        <f ca="1">IF($D169=1,SUM(AB$13:AB167)-SUM(AC$13:AC167),IF($D169=2,$AA$5,IF($D169=3,TRUNC($AA$5,-3))))</f>
        <v>0</v>
      </c>
    </row>
    <row r="170" spans="3:29" ht="15" customHeight="1" x14ac:dyDescent="0.15">
      <c r="C170" s="182"/>
      <c r="D170" s="210"/>
      <c r="E170" s="184"/>
      <c r="F170" s="227"/>
      <c r="G170" s="297" t="str">
        <f ca="1">IF(OR(AC$8=0,L170="b"),"",IF(L170="l",0,"("&amp;FIXED(-F170,K171,0)&amp;M170))</f>
        <v/>
      </c>
      <c r="H170" s="183"/>
      <c r="I170" s="185"/>
      <c r="L170" t="str">
        <f t="shared" ref="L170:L213" ca="1" si="35">CELL("type",F170)</f>
        <v>b</v>
      </c>
      <c r="M170" t="str">
        <f>")"&amp;REPT(" ",2-K171)&amp;IF(K171=0," ","")</f>
        <v xml:space="preserve">)   </v>
      </c>
      <c r="O170" s="194"/>
      <c r="P170" s="207">
        <f>D170</f>
        <v>0</v>
      </c>
      <c r="Q170" s="207">
        <f t="shared" ref="Q170:Q191" si="36">E170</f>
        <v>0</v>
      </c>
      <c r="R170" s="300" t="str">
        <f t="shared" ref="R170:R213" ca="1" si="37">G170</f>
        <v/>
      </c>
      <c r="S170" s="304"/>
      <c r="T170" s="512"/>
      <c r="U170" s="206">
        <f ca="1">IF(OR(AC$8=0,SUM(Z171:AC171)=0),1,IF(L170="l","",SUM(AB171:AC171)))</f>
        <v>1</v>
      </c>
      <c r="V170" s="521"/>
      <c r="W170" s="50"/>
      <c r="Z170"/>
    </row>
    <row r="171" spans="3:29" ht="15" customHeight="1" x14ac:dyDescent="0.15">
      <c r="C171" s="186"/>
      <c r="D171" s="205"/>
      <c r="E171" s="188"/>
      <c r="F171" s="226"/>
      <c r="G171" s="296" t="str">
        <f ca="1">IF(L171="b","",IF(L171="l",0,FIXED(F171,K171,0)&amp;M171))</f>
        <v/>
      </c>
      <c r="H171" s="187"/>
      <c r="I171" s="189"/>
      <c r="K171" s="215"/>
      <c r="L171" t="str">
        <f t="shared" ca="1" si="35"/>
        <v>b</v>
      </c>
      <c r="M171" t="str">
        <f>REPT(" ",3-K171)&amp;IF(K171=0," ","")</f>
        <v xml:space="preserve">    </v>
      </c>
      <c r="O171" s="194"/>
      <c r="P171" s="208">
        <f>IF(ISNUMBER(D171),LOOKUP(D171,$AB$5:$AC$7),D171)</f>
        <v>0</v>
      </c>
      <c r="Q171" s="208">
        <f t="shared" si="36"/>
        <v>0</v>
      </c>
      <c r="R171" s="301" t="str">
        <f t="shared" ca="1" si="37"/>
        <v/>
      </c>
      <c r="S171" s="305">
        <f>H171</f>
        <v>0</v>
      </c>
      <c r="T171" s="510"/>
      <c r="U171" s="216">
        <f ca="1">IF(L171="l","",IF(D171+F171&gt;0,SUM(Z171:AA171),-1))</f>
        <v>-1</v>
      </c>
      <c r="V171" s="523"/>
      <c r="W171" s="107"/>
      <c r="Z171" s="114">
        <f>IF(D171&gt;0,0,TRUNC(F171*T171+Y171*X171))</f>
        <v>0</v>
      </c>
      <c r="AA171" t="b">
        <f>IF($D171=1,SUM(Z$13:Z169)-SUM(AA$13:AA169),IF($D171=2,$AA$6,IF($D171=3,TRUNC($AA$6,-3))))</f>
        <v>0</v>
      </c>
      <c r="AB171">
        <f ca="1">IF(OR(AC$8=0,L170="l",D171&gt;0,U171=-1),0,IF(L170="b",-U171,TRUNC(F170*T171)))</f>
        <v>0</v>
      </c>
      <c r="AC171" t="b">
        <f>IF($D171=1,SUM(AB$13:AB169)-SUM(AC$13:AC169),IF($D171=2,$AA$5,IF($D171=3,TRUNC($AA$5,-3))))</f>
        <v>0</v>
      </c>
    </row>
    <row r="172" spans="3:29" ht="15" customHeight="1" x14ac:dyDescent="0.15">
      <c r="C172" s="182"/>
      <c r="D172" s="210"/>
      <c r="E172" s="184"/>
      <c r="F172" s="227"/>
      <c r="G172" s="297" t="str">
        <f ca="1">IF(OR(AC$8=0,L172="b"),"",IF(L172="l",0,"("&amp;FIXED(-F172,K173,0)&amp;M172))</f>
        <v/>
      </c>
      <c r="H172" s="183"/>
      <c r="I172" s="185"/>
      <c r="L172" t="str">
        <f t="shared" ca="1" si="35"/>
        <v>b</v>
      </c>
      <c r="M172" t="str">
        <f>")"&amp;REPT(" ",2-K173)&amp;IF(K173=0," ","")</f>
        <v xml:space="preserve">)   </v>
      </c>
      <c r="O172" s="194"/>
      <c r="P172" s="207">
        <f>D172</f>
        <v>0</v>
      </c>
      <c r="Q172" s="207">
        <f t="shared" si="36"/>
        <v>0</v>
      </c>
      <c r="R172" s="300" t="str">
        <f t="shared" ca="1" si="37"/>
        <v/>
      </c>
      <c r="S172" s="304"/>
      <c r="T172" s="512"/>
      <c r="U172" s="206">
        <f ca="1">IF(OR(AC$8=0,SUM(Z173:AC173)=0),1,IF(L172="l","",SUM(AB173:AC173)))</f>
        <v>1</v>
      </c>
      <c r="V172" s="521"/>
      <c r="W172" s="197" t="str">
        <f>IF(OR(AC$8=0,Y172+Y173=0),"",TEXT(-Y172,"(#,0)"))</f>
        <v/>
      </c>
      <c r="Z172"/>
    </row>
    <row r="173" spans="3:29" ht="15" customHeight="1" x14ac:dyDescent="0.15">
      <c r="C173" s="186"/>
      <c r="D173" s="205"/>
      <c r="E173" s="188"/>
      <c r="F173" s="226"/>
      <c r="G173" s="296" t="str">
        <f ca="1">IF(L173="b","",IF(L173="l",0,FIXED(F173,K173,0)&amp;M173))</f>
        <v/>
      </c>
      <c r="H173" s="187"/>
      <c r="I173" s="189"/>
      <c r="K173" s="215"/>
      <c r="L173" t="str">
        <f t="shared" ca="1" si="35"/>
        <v>b</v>
      </c>
      <c r="M173" t="str">
        <f>REPT(" ",3-K173)&amp;IF(K173=0," ","")</f>
        <v xml:space="preserve">    </v>
      </c>
      <c r="O173" s="194"/>
      <c r="P173" s="208">
        <f>IF(ISNUMBER(D173),LOOKUP(D173,$AB$5:$AC$7),D173)</f>
        <v>0</v>
      </c>
      <c r="Q173" s="208">
        <f t="shared" si="36"/>
        <v>0</v>
      </c>
      <c r="R173" s="301" t="str">
        <f t="shared" ca="1" si="37"/>
        <v/>
      </c>
      <c r="S173" s="305">
        <f>H173</f>
        <v>0</v>
      </c>
      <c r="T173" s="510"/>
      <c r="U173" s="216">
        <f ca="1">IF(L173="l","",IF(D173+F173&gt;0,SUM(Z173:AA173),-1))</f>
        <v>-1</v>
      </c>
      <c r="V173" s="523"/>
      <c r="W173" s="142"/>
      <c r="Y173" s="114"/>
      <c r="Z173" s="114">
        <f>IF(D173&gt;0,0,TRUNC(F173*T173+Y173*X173))</f>
        <v>0</v>
      </c>
      <c r="AA173" t="b">
        <f>IF($D173=1,SUM(Z$13:Z171)-SUM(AA$13:AA171),IF($D173=2,$AA$6,IF($D173=3,TRUNC($AA$6,-3))))</f>
        <v>0</v>
      </c>
      <c r="AB173">
        <f ca="1">IF(OR(AC$8=0,L172="l",D173&gt;0,U173=-1),0,IF(L172="b",-U173,TRUNC(F172*T173)))</f>
        <v>0</v>
      </c>
      <c r="AC173" t="b">
        <f>IF($D173=1,SUM(AB$13:AB171)-SUM(AC$13:AC171),IF($D173=2,$AA$5,IF($D173=3,TRUNC($AA$5,-3))))</f>
        <v>0</v>
      </c>
    </row>
    <row r="174" spans="3:29" ht="15" customHeight="1" x14ac:dyDescent="0.15">
      <c r="C174" s="182"/>
      <c r="D174" s="210"/>
      <c r="E174" s="184"/>
      <c r="F174" s="227"/>
      <c r="G174" s="297" t="str">
        <f ca="1">IF(OR(AC$8=0,L174="b"),"",IF(L174="l",0,"("&amp;FIXED(-F174,K175,0)&amp;M174))</f>
        <v/>
      </c>
      <c r="H174" s="183"/>
      <c r="I174" s="185"/>
      <c r="L174" t="str">
        <f t="shared" ca="1" si="35"/>
        <v>b</v>
      </c>
      <c r="M174" t="str">
        <f>")"&amp;REPT(" ",2-K175)&amp;IF(K175=0," ","")</f>
        <v xml:space="preserve">)   </v>
      </c>
      <c r="O174" s="194"/>
      <c r="P174" s="207">
        <f>D174</f>
        <v>0</v>
      </c>
      <c r="Q174" s="207">
        <f t="shared" si="36"/>
        <v>0</v>
      </c>
      <c r="R174" s="300" t="str">
        <f t="shared" ca="1" si="37"/>
        <v/>
      </c>
      <c r="S174" s="304"/>
      <c r="T174" s="512"/>
      <c r="U174" s="206">
        <f ca="1">IF(OR(AC$8=0,SUM(Z175:AC175)=0),1,IF(L174="l","",SUM(AB175:AC175)))</f>
        <v>1</v>
      </c>
      <c r="V174" s="521"/>
      <c r="W174" s="197" t="str">
        <f>IF(OR(AC$8=0,Y174+Y175=0),"",TEXT(-Y174,"(#,0)"))</f>
        <v/>
      </c>
      <c r="Z174"/>
    </row>
    <row r="175" spans="3:29" ht="15" customHeight="1" x14ac:dyDescent="0.15">
      <c r="C175" s="186"/>
      <c r="D175" s="205"/>
      <c r="E175" s="188"/>
      <c r="F175" s="226"/>
      <c r="G175" s="296" t="str">
        <f ca="1">IF(L175="b","",IF(L175="l",0,FIXED(F175,K175,0)&amp;M175))</f>
        <v/>
      </c>
      <c r="H175" s="187"/>
      <c r="I175" s="189"/>
      <c r="K175" s="215"/>
      <c r="L175" t="str">
        <f t="shared" ca="1" si="35"/>
        <v>b</v>
      </c>
      <c r="M175" t="str">
        <f>REPT(" ",3-K175)&amp;IF(K175=0," ","")</f>
        <v xml:space="preserve">    </v>
      </c>
      <c r="O175" s="194"/>
      <c r="P175" s="208">
        <f>IF(ISNUMBER(D175),LOOKUP(D175,$AB$5:$AC$7),D175)</f>
        <v>0</v>
      </c>
      <c r="Q175" s="208">
        <f t="shared" si="36"/>
        <v>0</v>
      </c>
      <c r="R175" s="301" t="str">
        <f t="shared" ca="1" si="37"/>
        <v/>
      </c>
      <c r="S175" s="305">
        <f>H175</f>
        <v>0</v>
      </c>
      <c r="T175" s="510"/>
      <c r="U175" s="216">
        <f ca="1">IF(L175="l","",IF(D175+F175&gt;0,SUM(Z175:AA175),-1))</f>
        <v>-1</v>
      </c>
      <c r="V175" s="523"/>
      <c r="W175" s="142"/>
      <c r="Y175" s="114"/>
      <c r="Z175" s="114">
        <f>IF(D175&gt;0,0,TRUNC(F175*T175+Y175*X175))</f>
        <v>0</v>
      </c>
      <c r="AA175" t="b">
        <f>IF($D175=1,SUM(Z$13:Z173)-SUM(AA$13:AA173),IF($D175=2,$AA$6,IF($D175=3,TRUNC($AA$6,-3))))</f>
        <v>0</v>
      </c>
      <c r="AB175">
        <f ca="1">IF(OR(AC$8=0,L174="l",D175&gt;0,U175=-1),0,IF(L174="b",-U175,TRUNC(F174*T175)))</f>
        <v>0</v>
      </c>
      <c r="AC175" t="b">
        <f>IF($D175=1,SUM(AB$13:AB173)-SUM(AC$13:AC173),IF($D175=2,$AA$5,IF($D175=3,TRUNC($AA$5,-3))))</f>
        <v>0</v>
      </c>
    </row>
    <row r="176" spans="3:29" ht="15" customHeight="1" x14ac:dyDescent="0.15">
      <c r="C176" s="182"/>
      <c r="D176" s="210"/>
      <c r="E176" s="184"/>
      <c r="F176" s="227"/>
      <c r="G176" s="297" t="str">
        <f ca="1">IF(OR(AC$8=0,L176="b"),"",IF(L176="l",0,"("&amp;FIXED(-F176,K177,0)&amp;M176))</f>
        <v/>
      </c>
      <c r="H176" s="183"/>
      <c r="I176" s="185"/>
      <c r="L176" t="str">
        <f t="shared" ca="1" si="35"/>
        <v>b</v>
      </c>
      <c r="M176" t="str">
        <f>")"&amp;REPT(" ",2-K177)&amp;IF(K177=0," ","")</f>
        <v xml:space="preserve">)   </v>
      </c>
      <c r="O176" s="194"/>
      <c r="P176" s="207">
        <f>D176</f>
        <v>0</v>
      </c>
      <c r="Q176" s="207">
        <f t="shared" si="36"/>
        <v>0</v>
      </c>
      <c r="R176" s="300" t="str">
        <f t="shared" ca="1" si="37"/>
        <v/>
      </c>
      <c r="S176" s="304"/>
      <c r="T176" s="512"/>
      <c r="U176" s="206">
        <f ca="1">IF(OR(AC$8=0,SUM(Z177:AC177)=0),1,IF(L176="l","",SUM(AB177:AC177)))</f>
        <v>1</v>
      </c>
      <c r="V176" s="521"/>
      <c r="W176" s="197"/>
      <c r="Z176"/>
    </row>
    <row r="177" spans="3:29" ht="15" customHeight="1" x14ac:dyDescent="0.15">
      <c r="C177" s="186"/>
      <c r="D177" s="205"/>
      <c r="E177" s="188"/>
      <c r="F177" s="226"/>
      <c r="G177" s="296" t="str">
        <f ca="1">IF(L177="b","",IF(L177="l",0,FIXED(F177,K177,0)&amp;M177))</f>
        <v/>
      </c>
      <c r="H177" s="187"/>
      <c r="I177" s="189"/>
      <c r="K177" s="215"/>
      <c r="L177" t="str">
        <f t="shared" ca="1" si="35"/>
        <v>b</v>
      </c>
      <c r="M177" t="str">
        <f>REPT(" ",3-K177)&amp;IF(K177=0," ","")</f>
        <v xml:space="preserve">    </v>
      </c>
      <c r="O177" s="194"/>
      <c r="P177" s="208">
        <f>IF(ISNUMBER(D177),LOOKUP(D177,$AB$5:$AC$7),D177)</f>
        <v>0</v>
      </c>
      <c r="Q177" s="208">
        <f t="shared" si="36"/>
        <v>0</v>
      </c>
      <c r="R177" s="301" t="str">
        <f t="shared" ca="1" si="37"/>
        <v/>
      </c>
      <c r="S177" s="305">
        <f>H177</f>
        <v>0</v>
      </c>
      <c r="T177" s="510"/>
      <c r="U177" s="216">
        <f ca="1">IF(L177="l","",IF(D177+F177&gt;0,SUM(Z177:AA177),-1))</f>
        <v>-1</v>
      </c>
      <c r="V177" s="523"/>
      <c r="W177" s="142"/>
      <c r="Y177" s="114"/>
      <c r="Z177" s="114">
        <f>IF(D177&gt;0,0,TRUNC(F177*T177+Y177*X177))</f>
        <v>0</v>
      </c>
      <c r="AA177" t="b">
        <f>IF($D177=1,SUM(Z$13:Z169)-SUM(AA$13:AA169),IF($D177=2,$AA$6,IF($D177=3,TRUNC($AA$6,-3))))</f>
        <v>0</v>
      </c>
      <c r="AB177">
        <f ca="1">IF(OR(AC$8=0,L176="l",D177&gt;0,U177=-1),0,IF(L176="b",-U177,TRUNC(F176*T177)))</f>
        <v>0</v>
      </c>
      <c r="AC177" t="b">
        <f>IF($D177=1,SUM(AB$13:AB169)-SUM(AC$13:AC169),IF($D177=2,$AA$5,IF($D177=3,TRUNC($AA$5,-3))))</f>
        <v>0</v>
      </c>
    </row>
    <row r="178" spans="3:29" ht="15" customHeight="1" x14ac:dyDescent="0.15">
      <c r="C178" s="182"/>
      <c r="D178" s="210"/>
      <c r="E178" s="184"/>
      <c r="F178" s="227"/>
      <c r="G178" s="297" t="str">
        <f ca="1">IF(OR(AC$8=0,L178="b"),"",IF(L178="l",0,"("&amp;FIXED(-F178,K179,0)&amp;M178))</f>
        <v/>
      </c>
      <c r="H178" s="183"/>
      <c r="I178" s="185"/>
      <c r="L178" t="str">
        <f t="shared" ca="1" si="35"/>
        <v>b</v>
      </c>
      <c r="M178" t="str">
        <f>")"&amp;REPT(" ",2-K179)&amp;IF(K179=0," ","")</f>
        <v xml:space="preserve">)   </v>
      </c>
      <c r="O178" s="194"/>
      <c r="P178" s="207">
        <f>D178</f>
        <v>0</v>
      </c>
      <c r="Q178" s="207">
        <f t="shared" si="36"/>
        <v>0</v>
      </c>
      <c r="R178" s="300" t="str">
        <f t="shared" ca="1" si="37"/>
        <v/>
      </c>
      <c r="S178" s="304"/>
      <c r="T178" s="512"/>
      <c r="U178" s="206">
        <f ca="1">IF(OR(AC$8=0,SUM(Z179:AC179)=0),1,IF(L178="l","",SUM(AB179:AC179)))</f>
        <v>1</v>
      </c>
      <c r="V178" s="521"/>
      <c r="W178" s="50"/>
      <c r="Z178"/>
    </row>
    <row r="179" spans="3:29" ht="15" customHeight="1" x14ac:dyDescent="0.15">
      <c r="C179" s="186"/>
      <c r="D179" s="205"/>
      <c r="E179" s="188"/>
      <c r="F179" s="226"/>
      <c r="G179" s="296" t="str">
        <f ca="1">IF(L179="b","",IF(L179="l",0,FIXED(F179,K179,0)&amp;M179))</f>
        <v/>
      </c>
      <c r="H179" s="187"/>
      <c r="I179" s="189"/>
      <c r="K179" s="215"/>
      <c r="L179" t="str">
        <f t="shared" ca="1" si="35"/>
        <v>b</v>
      </c>
      <c r="M179" t="str">
        <f>REPT(" ",3-K179)&amp;IF(K179=0," ","")</f>
        <v xml:space="preserve">    </v>
      </c>
      <c r="O179" s="194"/>
      <c r="P179" s="208">
        <f>IF(ISNUMBER(D179),LOOKUP(D179,$AB$5:$AC$7),D179)</f>
        <v>0</v>
      </c>
      <c r="Q179" s="208">
        <f t="shared" si="36"/>
        <v>0</v>
      </c>
      <c r="R179" s="301" t="str">
        <f t="shared" ca="1" si="37"/>
        <v/>
      </c>
      <c r="S179" s="305">
        <f>H179</f>
        <v>0</v>
      </c>
      <c r="T179" s="510"/>
      <c r="U179" s="216">
        <f ca="1">IF(L179="l","",IF(D179+F179&gt;0,SUM(Z179:AA179),-1))</f>
        <v>-1</v>
      </c>
      <c r="V179" s="523"/>
      <c r="W179" s="107"/>
      <c r="Z179" s="114">
        <f>IF(D179&gt;0,0,TRUNC(F179*T179))</f>
        <v>0</v>
      </c>
      <c r="AA179" t="b">
        <f>IF($D179=1,SUM(Z$13:Z177)-SUM(AA$13:AA177),IF($D179=2,$AA$6,IF($D179=3,TRUNC($AA$6,-3))))</f>
        <v>0</v>
      </c>
      <c r="AB179">
        <f ca="1">IF(OR(AC$8=0,L178="l",D179&gt;0,U179=-1),0,IF(L178="b",-U179,TRUNC(F178*T179)))</f>
        <v>0</v>
      </c>
      <c r="AC179" t="b">
        <f>IF($D179=1,SUM(AB$13:AB177)-SUM(AC$13:AC177),IF($D179=2,$AA$5,IF($D179=3,TRUNC($AA$5,-3))))</f>
        <v>0</v>
      </c>
    </row>
    <row r="180" spans="3:29" ht="15" customHeight="1" x14ac:dyDescent="0.15">
      <c r="C180" s="182"/>
      <c r="D180" s="210"/>
      <c r="E180" s="184"/>
      <c r="F180" s="227"/>
      <c r="G180" s="297" t="str">
        <f ca="1">IF(OR(AC$8=0,L180="b"),"",IF(L180="l",0,"("&amp;FIXED(-F180,K181,0)&amp;M180))</f>
        <v/>
      </c>
      <c r="H180" s="183"/>
      <c r="I180" s="185"/>
      <c r="L180" t="str">
        <f t="shared" ca="1" si="35"/>
        <v>b</v>
      </c>
      <c r="M180" t="str">
        <f>")"&amp;REPT(" ",2-K181)&amp;IF(K181=0," ","")</f>
        <v xml:space="preserve">)   </v>
      </c>
      <c r="O180" s="194"/>
      <c r="P180" s="207">
        <f>D180</f>
        <v>0</v>
      </c>
      <c r="Q180" s="207">
        <f t="shared" si="36"/>
        <v>0</v>
      </c>
      <c r="R180" s="300" t="str">
        <f t="shared" ca="1" si="37"/>
        <v/>
      </c>
      <c r="S180" s="304"/>
      <c r="T180" s="512"/>
      <c r="U180" s="206">
        <f ca="1">IF(OR(AC$8=0,SUM(Z181:AC181)=0),1,IF(L180="l","",SUM(AB181:AC181)))</f>
        <v>1</v>
      </c>
      <c r="V180" s="521"/>
      <c r="W180" s="50"/>
      <c r="Z180"/>
    </row>
    <row r="181" spans="3:29" ht="15" customHeight="1" x14ac:dyDescent="0.15">
      <c r="C181" s="186"/>
      <c r="D181" s="205"/>
      <c r="E181" s="188"/>
      <c r="F181" s="226"/>
      <c r="G181" s="296" t="str">
        <f ca="1">IF(L181="b","",IF(L181="l",0,FIXED(F181,K181,0)&amp;M181))</f>
        <v/>
      </c>
      <c r="H181" s="187"/>
      <c r="I181" s="189"/>
      <c r="K181" s="215"/>
      <c r="L181" t="str">
        <f t="shared" ca="1" si="35"/>
        <v>b</v>
      </c>
      <c r="M181" t="str">
        <f>REPT(" ",3-K181)&amp;IF(K181=0," ","")</f>
        <v xml:space="preserve">    </v>
      </c>
      <c r="O181" s="194"/>
      <c r="P181" s="208">
        <f>IF(ISNUMBER(D181),LOOKUP(D181,$AB$5:$AC$7),D181)</f>
        <v>0</v>
      </c>
      <c r="Q181" s="208">
        <f t="shared" si="36"/>
        <v>0</v>
      </c>
      <c r="R181" s="301" t="str">
        <f t="shared" ca="1" si="37"/>
        <v/>
      </c>
      <c r="S181" s="305">
        <f>H181</f>
        <v>0</v>
      </c>
      <c r="T181" s="513"/>
      <c r="U181" s="216">
        <f ca="1">IF(L181="l","",IF(D181+F181&gt;0,SUM(Z181:AA181),-1))</f>
        <v>-1</v>
      </c>
      <c r="V181" s="522"/>
      <c r="W181" s="107"/>
      <c r="Z181" s="114">
        <f>IF(D181&gt;0,0,TRUNC(F181*T181+Y181*X181))</f>
        <v>0</v>
      </c>
      <c r="AA181" t="b">
        <f>IF($D181=1,SUM(Z$13:Z179)-SUM(AA$13:AA179),IF($D181=2,$AA$6,IF($D181=3,TRUNC($AA$6,-3))))</f>
        <v>0</v>
      </c>
      <c r="AB181">
        <f ca="1">IF(OR(AC$8=0,L180="l",D181&gt;0,U181=-1),0,IF(L180="b",-U181,TRUNC(F180*T181)))</f>
        <v>0</v>
      </c>
      <c r="AC181" t="b">
        <f>IF($D181=1,SUM(AB$13:AB179)-SUM(AC$13:AC179),IF($D181=2,$AA$5,IF($D181=3,TRUNC($AA$5,-3))))</f>
        <v>0</v>
      </c>
    </row>
    <row r="182" spans="3:29" ht="15" customHeight="1" x14ac:dyDescent="0.15">
      <c r="C182" s="182"/>
      <c r="D182" s="210"/>
      <c r="E182" s="184"/>
      <c r="F182" s="227"/>
      <c r="G182" s="297" t="str">
        <f ca="1">IF(OR(AC$8=0,L182="b"),"",IF(L182="l",0,"("&amp;FIXED(-F182,K183,0)&amp;M182))</f>
        <v/>
      </c>
      <c r="H182" s="183"/>
      <c r="I182" s="185"/>
      <c r="L182" t="str">
        <f t="shared" ca="1" si="35"/>
        <v>b</v>
      </c>
      <c r="M182" t="str">
        <f>")"&amp;REPT(" ",2-K183)&amp;IF(K183=0," ","")</f>
        <v xml:space="preserve">)   </v>
      </c>
      <c r="O182" s="194"/>
      <c r="P182" s="207">
        <f>D182</f>
        <v>0</v>
      </c>
      <c r="Q182" s="207">
        <f t="shared" si="36"/>
        <v>0</v>
      </c>
      <c r="R182" s="300" t="str">
        <f t="shared" ca="1" si="37"/>
        <v/>
      </c>
      <c r="S182" s="304"/>
      <c r="T182" s="512"/>
      <c r="U182" s="206">
        <f ca="1">IF(OR(AC$8=0,SUM(Z183:AC183)=0),1,IF(L182="l","",SUM(AB183:AC183)))</f>
        <v>1</v>
      </c>
      <c r="V182" s="521"/>
      <c r="W182" s="50"/>
      <c r="Z182"/>
    </row>
    <row r="183" spans="3:29" ht="15" customHeight="1" x14ac:dyDescent="0.15">
      <c r="C183" s="186"/>
      <c r="D183" s="205"/>
      <c r="E183" s="188"/>
      <c r="F183" s="226"/>
      <c r="G183" s="296" t="str">
        <f ca="1">IF(L183="b","",IF(L183="l",0,FIXED(F183,K183,0)&amp;M183))</f>
        <v/>
      </c>
      <c r="H183" s="187"/>
      <c r="I183" s="189"/>
      <c r="K183" s="215"/>
      <c r="L183" t="str">
        <f t="shared" ca="1" si="35"/>
        <v>b</v>
      </c>
      <c r="M183" t="str">
        <f>REPT(" ",3-K183)&amp;IF(K183=0," ","")</f>
        <v xml:space="preserve">    </v>
      </c>
      <c r="O183" s="194"/>
      <c r="P183" s="208">
        <f>IF(ISNUMBER(D183),LOOKUP(D183,$AB$5:$AC$7),D183)</f>
        <v>0</v>
      </c>
      <c r="Q183" s="208">
        <f t="shared" si="36"/>
        <v>0</v>
      </c>
      <c r="R183" s="301" t="str">
        <f t="shared" ca="1" si="37"/>
        <v/>
      </c>
      <c r="S183" s="305">
        <f>H183</f>
        <v>0</v>
      </c>
      <c r="T183" s="513"/>
      <c r="U183" s="216">
        <f ca="1">IF(L183="l","",IF(D183+F183&gt;0,SUM(Z183:AA183),-1))</f>
        <v>-1</v>
      </c>
      <c r="V183" s="522"/>
      <c r="W183" s="107"/>
      <c r="Z183" s="114">
        <f>IF(D183&gt;0,0,TRUNC(F183*T183+Y183*X183))</f>
        <v>0</v>
      </c>
      <c r="AA183" t="b">
        <f>IF($D183=1,SUM(Z$13:Z181)-SUM(AA$13:AA181),IF($D183=2,$AA$6,IF($D183=3,TRUNC($AA$6,-3))))</f>
        <v>0</v>
      </c>
      <c r="AB183">
        <f ca="1">IF(OR(AC$8=0,L182="l",D183&gt;0,U183=-1),0,IF(L182="b",-U183,TRUNC(F182*T183)))</f>
        <v>0</v>
      </c>
      <c r="AC183" t="b">
        <f>IF($D183=1,SUM(AB$13:AB181)-SUM(AC$13:AC181),IF($D183=2,$AA$5,IF($D183=3,TRUNC($AA$5,-3))))</f>
        <v>0</v>
      </c>
    </row>
    <row r="184" spans="3:29" ht="15" customHeight="1" x14ac:dyDescent="0.15">
      <c r="C184" s="182"/>
      <c r="D184" s="210"/>
      <c r="E184" s="184"/>
      <c r="F184" s="227"/>
      <c r="G184" s="297" t="str">
        <f ca="1">IF(OR(AC$8=0,L184="b"),"",IF(L184="l",0,"("&amp;FIXED(-F184,K185,0)&amp;M184))</f>
        <v/>
      </c>
      <c r="H184" s="183"/>
      <c r="I184" s="185"/>
      <c r="L184" t="str">
        <f t="shared" ca="1" si="35"/>
        <v>b</v>
      </c>
      <c r="M184" t="str">
        <f>")"&amp;REPT(" ",2-K185)&amp;IF(K185=0," ","")</f>
        <v xml:space="preserve">)   </v>
      </c>
      <c r="O184" s="194"/>
      <c r="P184" s="207">
        <f>D184</f>
        <v>0</v>
      </c>
      <c r="Q184" s="207">
        <f t="shared" si="36"/>
        <v>0</v>
      </c>
      <c r="R184" s="300" t="str">
        <f t="shared" ca="1" si="37"/>
        <v/>
      </c>
      <c r="S184" s="304"/>
      <c r="T184" s="512"/>
      <c r="U184" s="206">
        <f ca="1">IF(OR(AC$8=0,SUM(Z185:AC185)=0),1,IF(L184="l","",SUM(AB185:AC185)))</f>
        <v>1</v>
      </c>
      <c r="V184" s="521"/>
      <c r="W184" s="50"/>
      <c r="Z184"/>
    </row>
    <row r="185" spans="3:29" ht="15" customHeight="1" x14ac:dyDescent="0.15">
      <c r="C185" s="186"/>
      <c r="D185" s="205"/>
      <c r="E185" s="188"/>
      <c r="F185" s="226"/>
      <c r="G185" s="296" t="str">
        <f ca="1">IF(L185="b","",IF(L185="l",0,FIXED(F185,K185,0)&amp;M185))</f>
        <v/>
      </c>
      <c r="H185" s="187"/>
      <c r="I185" s="189"/>
      <c r="K185" s="215"/>
      <c r="L185" t="str">
        <f t="shared" ca="1" si="35"/>
        <v>b</v>
      </c>
      <c r="M185" t="str">
        <f>REPT(" ",3-K185)&amp;IF(K185=0," ","")</f>
        <v xml:space="preserve">    </v>
      </c>
      <c r="O185" s="194"/>
      <c r="P185" s="208">
        <f>IF(ISNUMBER(D185),LOOKUP(D185,$AB$5:$AC$7),D185)</f>
        <v>0</v>
      </c>
      <c r="Q185" s="208">
        <f t="shared" si="36"/>
        <v>0</v>
      </c>
      <c r="R185" s="301" t="str">
        <f t="shared" ca="1" si="37"/>
        <v/>
      </c>
      <c r="S185" s="305">
        <f>H185</f>
        <v>0</v>
      </c>
      <c r="T185" s="513"/>
      <c r="U185" s="216">
        <f ca="1">IF(L185="l","",IF(D185+F185&gt;0,SUM(Z185:AA185),-1))</f>
        <v>-1</v>
      </c>
      <c r="V185" s="522"/>
      <c r="W185" s="107"/>
      <c r="Z185" s="114">
        <f>IF(D185&gt;0,0,TRUNC(F185*T185+Y185*X185))</f>
        <v>0</v>
      </c>
      <c r="AA185" t="b">
        <f>IF($D185=1,SUM(Z$13:Z183)-SUM(AA$13:AA183),IF($D185=2,$AA$6,IF($D185=3,TRUNC($AA$6,-3))))</f>
        <v>0</v>
      </c>
      <c r="AB185">
        <f ca="1">IF(OR(AC$8=0,L184="l",D185&gt;0,U185=-1),0,IF(L184="b",-U185,TRUNC(F184*T185)))</f>
        <v>0</v>
      </c>
      <c r="AC185" t="b">
        <f>IF($D185=1,SUM(AB$13:AB183)-SUM(AC$13:AC183),IF($D185=2,$AA$5,IF($D185=3,TRUNC($AA$5,-3))))</f>
        <v>0</v>
      </c>
    </row>
    <row r="186" spans="3:29" ht="15" customHeight="1" x14ac:dyDescent="0.15">
      <c r="C186" s="182"/>
      <c r="D186" s="210"/>
      <c r="E186" s="184"/>
      <c r="F186" s="227"/>
      <c r="G186" s="297" t="str">
        <f ca="1">IF(OR(AC$8=0,L186="b"),"",IF(L186="l",0,"("&amp;FIXED(-F186,K187,0)&amp;M186))</f>
        <v/>
      </c>
      <c r="H186" s="183"/>
      <c r="I186" s="185"/>
      <c r="L186" t="str">
        <f t="shared" ca="1" si="35"/>
        <v>b</v>
      </c>
      <c r="M186" t="str">
        <f>")"&amp;REPT(" ",2-K187)&amp;IF(K187=0," ","")</f>
        <v xml:space="preserve">)   </v>
      </c>
      <c r="O186" s="194"/>
      <c r="P186" s="207">
        <f>D186</f>
        <v>0</v>
      </c>
      <c r="Q186" s="207">
        <f t="shared" si="36"/>
        <v>0</v>
      </c>
      <c r="R186" s="300" t="str">
        <f t="shared" ca="1" si="37"/>
        <v/>
      </c>
      <c r="S186" s="304"/>
      <c r="T186" s="512"/>
      <c r="U186" s="206">
        <f ca="1">IF(OR(AC$8=0,SUM(Z187:AC187)=0),1,IF(L186="l","",SUM(AB187:AC187)))</f>
        <v>1</v>
      </c>
      <c r="V186" s="521"/>
      <c r="W186" s="50"/>
      <c r="Z186"/>
    </row>
    <row r="187" spans="3:29" ht="15" customHeight="1" x14ac:dyDescent="0.15">
      <c r="C187" s="186"/>
      <c r="D187" s="205"/>
      <c r="E187" s="188"/>
      <c r="F187" s="226"/>
      <c r="G187" s="296" t="str">
        <f ca="1">IF(L187="b","",IF(L187="l",0,FIXED(F187,K187,0)&amp;M187))</f>
        <v/>
      </c>
      <c r="H187" s="187"/>
      <c r="I187" s="189"/>
      <c r="K187" s="215"/>
      <c r="L187" t="str">
        <f t="shared" ca="1" si="35"/>
        <v>b</v>
      </c>
      <c r="M187" t="str">
        <f>REPT(" ",3-K187)&amp;IF(K187=0," ","")</f>
        <v xml:space="preserve">    </v>
      </c>
      <c r="O187" s="194"/>
      <c r="P187" s="208">
        <f>IF(ISNUMBER(D187),LOOKUP(D187,$AB$5:$AC$7),D187)</f>
        <v>0</v>
      </c>
      <c r="Q187" s="208">
        <f t="shared" si="36"/>
        <v>0</v>
      </c>
      <c r="R187" s="301" t="str">
        <f t="shared" ca="1" si="37"/>
        <v/>
      </c>
      <c r="S187" s="305">
        <f>H187</f>
        <v>0</v>
      </c>
      <c r="T187" s="513"/>
      <c r="U187" s="216">
        <f ca="1">IF(L187="l","",IF(D187+F187&gt;0,SUM(Z187:AA187),-1))</f>
        <v>-1</v>
      </c>
      <c r="V187" s="522"/>
      <c r="W187" s="107"/>
      <c r="Z187" s="114">
        <f>IF(D187&gt;0,0,TRUNC(F187*T187+Y187*X187))</f>
        <v>0</v>
      </c>
      <c r="AA187" t="b">
        <f>IF($D187=1,SUM(Z$13:Z185)-SUM(AA$13:AA185),IF($D187=2,$AA$6,IF($D187=3,TRUNC($AA$6,-3))))</f>
        <v>0</v>
      </c>
      <c r="AB187">
        <f ca="1">IF(OR(AC$8=0,L186="l",D187&gt;0,U187=-1),0,IF(L186="b",-U187,TRUNC(F186*T187)))</f>
        <v>0</v>
      </c>
      <c r="AC187" t="b">
        <f>IF($D187=1,SUM(AB$13:AB185)-SUM(AC$13:AC185),IF($D187=2,$AA$5,IF($D187=3,TRUNC($AA$5,-3))))</f>
        <v>0</v>
      </c>
    </row>
    <row r="188" spans="3:29" ht="15" customHeight="1" x14ac:dyDescent="0.15">
      <c r="C188" s="182"/>
      <c r="D188" s="210"/>
      <c r="E188" s="184"/>
      <c r="F188" s="227"/>
      <c r="G188" s="297" t="str">
        <f ca="1">IF(OR(AC$8=0,L188="b"),"",IF(L188="l",0,"("&amp;FIXED(-F188,K189,0)&amp;M188))</f>
        <v/>
      </c>
      <c r="H188" s="183"/>
      <c r="I188" s="185"/>
      <c r="L188" t="str">
        <f t="shared" ca="1" si="35"/>
        <v>b</v>
      </c>
      <c r="M188" t="str">
        <f>")"&amp;REPT(" ",2-K189)&amp;IF(K189=0," ","")</f>
        <v xml:space="preserve">)   </v>
      </c>
      <c r="O188" s="194"/>
      <c r="P188" s="207">
        <f>D188</f>
        <v>0</v>
      </c>
      <c r="Q188" s="207">
        <f t="shared" si="36"/>
        <v>0</v>
      </c>
      <c r="R188" s="300" t="str">
        <f t="shared" ca="1" si="37"/>
        <v/>
      </c>
      <c r="S188" s="304"/>
      <c r="T188" s="512"/>
      <c r="U188" s="206">
        <f ca="1">IF(OR(AC$8=0,SUM(Z189:AC189)=0),1,IF(L188="l","",SUM(AB189:AC189)))</f>
        <v>1</v>
      </c>
      <c r="V188" s="521"/>
      <c r="W188" s="50"/>
      <c r="Z188"/>
    </row>
    <row r="189" spans="3:29" ht="15" customHeight="1" x14ac:dyDescent="0.15">
      <c r="C189" s="186"/>
      <c r="D189" s="205"/>
      <c r="E189" s="188"/>
      <c r="F189" s="226"/>
      <c r="G189" s="296" t="str">
        <f ca="1">IF(L189="b","",IF(L189="l",0,FIXED(F189,K189,0)&amp;M189))</f>
        <v/>
      </c>
      <c r="H189" s="187"/>
      <c r="I189" s="189"/>
      <c r="K189" s="215"/>
      <c r="L189" t="str">
        <f t="shared" ca="1" si="35"/>
        <v>b</v>
      </c>
      <c r="M189" t="str">
        <f>REPT(" ",3-K189)&amp;IF(K189=0," ","")</f>
        <v xml:space="preserve">    </v>
      </c>
      <c r="O189" s="194"/>
      <c r="P189" s="208">
        <f>IF(ISNUMBER(D189),LOOKUP(D189,$AB$5:$AC$7),D189)</f>
        <v>0</v>
      </c>
      <c r="Q189" s="208">
        <f t="shared" si="36"/>
        <v>0</v>
      </c>
      <c r="R189" s="301" t="str">
        <f t="shared" ca="1" si="37"/>
        <v/>
      </c>
      <c r="S189" s="305">
        <f>H189</f>
        <v>0</v>
      </c>
      <c r="T189" s="513"/>
      <c r="U189" s="216">
        <f ca="1">IF(L189="l","",IF(D189+F189&gt;0,SUM(Z189:AA189),-1))</f>
        <v>-1</v>
      </c>
      <c r="V189" s="522"/>
      <c r="W189" s="107"/>
      <c r="Z189" s="114">
        <f>IF(D189&gt;0,0,TRUNC(F189*T189+Y189*X189))</f>
        <v>0</v>
      </c>
      <c r="AA189" t="b">
        <f>IF($D189=1,SUM(Z$13:Z187)-SUM(AA$13:AA187),IF($D189=2,$AA$6,IF($D189=3,TRUNC($AA$6,-3))))</f>
        <v>0</v>
      </c>
      <c r="AB189">
        <f ca="1">IF(OR(AC$8=0,L188="l",D189&gt;0,U189=-1),0,IF(L188="b",-U189,TRUNC(F188*T189)))</f>
        <v>0</v>
      </c>
      <c r="AC189" t="b">
        <f>IF($D189=1,SUM(AB$13:AB187)-SUM(AC$13:AC187),IF($D189=2,$AA$5,IF($D189=3,TRUNC($AA$5,-3))))</f>
        <v>0</v>
      </c>
    </row>
    <row r="190" spans="3:29" ht="15" customHeight="1" x14ac:dyDescent="0.15">
      <c r="C190" s="182"/>
      <c r="D190" s="210"/>
      <c r="E190" s="184"/>
      <c r="F190" s="227"/>
      <c r="G190" s="297" t="str">
        <f ca="1">IF(OR(AC$8=0,L190="b"),"",IF(L190="l",0,"("&amp;FIXED(-F190,K191,0)&amp;M190))</f>
        <v/>
      </c>
      <c r="H190" s="183"/>
      <c r="I190" s="185"/>
      <c r="L190" t="str">
        <f t="shared" ca="1" si="35"/>
        <v>b</v>
      </c>
      <c r="M190" t="str">
        <f>")"&amp;REPT(" ",2-K191)&amp;IF(K191=0," ","")</f>
        <v xml:space="preserve">)   </v>
      </c>
      <c r="O190" s="194"/>
      <c r="P190" s="207">
        <f>D190</f>
        <v>0</v>
      </c>
      <c r="Q190" s="207">
        <f t="shared" si="36"/>
        <v>0</v>
      </c>
      <c r="R190" s="300" t="str">
        <f t="shared" ca="1" si="37"/>
        <v/>
      </c>
      <c r="S190" s="304"/>
      <c r="T190" s="512"/>
      <c r="U190" s="206">
        <f ca="1">IF(OR(AC$8=0,SUM(Z191:AC191)=0),1,IF(L190="l","",SUM(AB191:AC191)))</f>
        <v>1</v>
      </c>
      <c r="V190" s="521"/>
      <c r="W190" s="50"/>
      <c r="Z190"/>
    </row>
    <row r="191" spans="3:29" ht="15" customHeight="1" x14ac:dyDescent="0.15">
      <c r="C191" s="186"/>
      <c r="D191" s="205"/>
      <c r="E191" s="188"/>
      <c r="F191" s="226"/>
      <c r="G191" s="296" t="str">
        <f ca="1">IF(L191="b","",IF(L191="l",0,FIXED(F191,K191,0)&amp;M191))</f>
        <v/>
      </c>
      <c r="H191" s="187"/>
      <c r="I191" s="189"/>
      <c r="K191" s="215"/>
      <c r="L191" t="str">
        <f t="shared" ca="1" si="35"/>
        <v>b</v>
      </c>
      <c r="M191" t="str">
        <f>REPT(" ",3-K191)&amp;IF(K191=0," ","")</f>
        <v xml:space="preserve">    </v>
      </c>
      <c r="O191" s="194"/>
      <c r="P191" s="208">
        <f>IF(ISNUMBER(D191),LOOKUP(D191,$AB$5:$AC$7),D191)</f>
        <v>0</v>
      </c>
      <c r="Q191" s="208">
        <f t="shared" si="36"/>
        <v>0</v>
      </c>
      <c r="R191" s="301" t="str">
        <f t="shared" ca="1" si="37"/>
        <v/>
      </c>
      <c r="S191" s="305">
        <f>H191</f>
        <v>0</v>
      </c>
      <c r="T191" s="513"/>
      <c r="U191" s="216">
        <f ca="1">IF(L191="l","",IF(D191+F191&gt;0,SUM(Z191:AA191),-1))</f>
        <v>-1</v>
      </c>
      <c r="V191" s="522"/>
      <c r="W191" s="107"/>
      <c r="Z191" s="114">
        <f>IF(D191&gt;0,0,TRUNC(F191*T191+Y191*X191))</f>
        <v>0</v>
      </c>
      <c r="AA191" t="b">
        <f>IF($D191=1,SUM(Z$13:Z189)-SUM(AA$13:AA189),IF($D191=2,$AA$6,IF($D191=3,TRUNC($AA$6,-3))))</f>
        <v>0</v>
      </c>
      <c r="AB191">
        <f ca="1">IF(OR(AC$8=0,L190="l",D191&gt;0,U191=-1),0,IF(L190="b",-U191,TRUNC(F190*T191)))</f>
        <v>0</v>
      </c>
      <c r="AC191" t="b">
        <f>IF($D191=1,SUM(AB$13:AB189)-SUM(AC$13:AC189),IF($D191=2,$AA$5,IF($D191=3,TRUNC($AA$5,-3))))</f>
        <v>0</v>
      </c>
    </row>
    <row r="192" spans="3:29" ht="15" customHeight="1" x14ac:dyDescent="0.15">
      <c r="C192" s="182"/>
      <c r="D192" s="210"/>
      <c r="E192" s="184"/>
      <c r="F192" s="227"/>
      <c r="G192" s="297" t="str">
        <f ca="1">IF(OR(AC$8=0,L192="b"),"",IF(L192="l",0,"("&amp;FIXED(-F192,K193,0)&amp;M192))</f>
        <v/>
      </c>
      <c r="H192" s="183"/>
      <c r="I192" s="185"/>
      <c r="L192" t="str">
        <f t="shared" ca="1" si="35"/>
        <v>b</v>
      </c>
      <c r="M192" t="str">
        <f>")"&amp;REPT(" ",2-K193)&amp;IF(K193=0," ","")</f>
        <v xml:space="preserve">)   </v>
      </c>
      <c r="O192" s="194"/>
      <c r="P192" s="207">
        <f>D192</f>
        <v>0</v>
      </c>
      <c r="Q192" s="207">
        <f>E192</f>
        <v>0</v>
      </c>
      <c r="R192" s="300" t="str">
        <f t="shared" ca="1" si="37"/>
        <v/>
      </c>
      <c r="S192" s="304"/>
      <c r="T192" s="512"/>
      <c r="U192" s="206">
        <f ca="1">IF(OR(AC$8=0,SUM(Z193:AC193)=0),1,IF(L192="l","",SUM(AB193:AC193)))</f>
        <v>1</v>
      </c>
      <c r="V192" s="521"/>
      <c r="W192" s="50"/>
      <c r="Z192"/>
    </row>
    <row r="193" spans="3:29" ht="15" customHeight="1" x14ac:dyDescent="0.15">
      <c r="C193" s="186"/>
      <c r="D193" s="205"/>
      <c r="E193" s="188"/>
      <c r="F193" s="226"/>
      <c r="G193" s="296" t="str">
        <f ca="1">IF(L193="b","",IF(L193="l",0,FIXED(F193,K193,0)&amp;M193))</f>
        <v/>
      </c>
      <c r="H193" s="187"/>
      <c r="I193" s="189"/>
      <c r="K193" s="215"/>
      <c r="L193" t="str">
        <f t="shared" ca="1" si="35"/>
        <v>b</v>
      </c>
      <c r="M193" t="str">
        <f>REPT(" ",3-K193)&amp;IF(K193=0," ","")</f>
        <v xml:space="preserve">    </v>
      </c>
      <c r="O193" s="194"/>
      <c r="P193" s="208">
        <f>IF(ISNUMBER(D193),LOOKUP(D193,$AB$5:$AC$7),D193)</f>
        <v>0</v>
      </c>
      <c r="Q193" s="208">
        <f>E193</f>
        <v>0</v>
      </c>
      <c r="R193" s="301" t="str">
        <f t="shared" ca="1" si="37"/>
        <v/>
      </c>
      <c r="S193" s="305">
        <f>H193</f>
        <v>0</v>
      </c>
      <c r="T193" s="513"/>
      <c r="U193" s="216">
        <f ca="1">IF(L193="l","",IF(D193+F193&gt;0,SUM(Z193:AA193),-1))</f>
        <v>-1</v>
      </c>
      <c r="V193" s="522"/>
      <c r="W193" s="107"/>
      <c r="Z193" s="114">
        <f>IF(D193&gt;0,0,TRUNC(F193*T193+Y193*X193))</f>
        <v>0</v>
      </c>
      <c r="AA193" t="b">
        <f>IF($D193=1,SUM(Z$13:Z191)-SUM(AA$13:AA191),IF($D193=2,$AA$6,IF($D193=3,TRUNC($AA$6,-3))))</f>
        <v>0</v>
      </c>
      <c r="AB193">
        <f ca="1">IF(OR(AC$8=0,L192="l",D193&gt;0,U193=-1),0,IF(L192="b",-U193,TRUNC(F192*T193)))</f>
        <v>0</v>
      </c>
      <c r="AC193" t="b">
        <f>IF($D193=1,SUM(AB$13:AB191)-SUM(AC$13:AC191),IF($D193=2,$AA$5,IF($D193=3,TRUNC($AA$5,-3))))</f>
        <v>0</v>
      </c>
    </row>
    <row r="194" spans="3:29" ht="15" customHeight="1" x14ac:dyDescent="0.15">
      <c r="C194" s="182"/>
      <c r="D194" s="210"/>
      <c r="E194" s="184"/>
      <c r="F194" s="227"/>
      <c r="G194" s="297" t="str">
        <f ca="1">IF(OR(AC$8=0,L194="b"),"",IF(L194="l",0,"("&amp;FIXED(-F194,K195,0)&amp;M194))</f>
        <v/>
      </c>
      <c r="H194" s="183"/>
      <c r="I194" s="185"/>
      <c r="L194" t="str">
        <f t="shared" ca="1" si="35"/>
        <v>b</v>
      </c>
      <c r="M194" t="str">
        <f>")"&amp;REPT(" ",2-K195)&amp;IF(K195=0," ","")</f>
        <v xml:space="preserve">)   </v>
      </c>
      <c r="O194" s="194"/>
      <c r="P194" s="207">
        <f>D194</f>
        <v>0</v>
      </c>
      <c r="Q194" s="207">
        <f>E194</f>
        <v>0</v>
      </c>
      <c r="R194" s="300" t="str">
        <f t="shared" ca="1" si="37"/>
        <v/>
      </c>
      <c r="S194" s="304"/>
      <c r="T194" s="512"/>
      <c r="U194" s="206">
        <f ca="1">IF(OR(AC$8=0,SUM(Z195:AC195)=0),1,IF(L194="l","",SUM(AB195:AC195)))</f>
        <v>1</v>
      </c>
      <c r="V194" s="521"/>
      <c r="W194" s="50"/>
      <c r="Z194"/>
    </row>
    <row r="195" spans="3:29" ht="15" customHeight="1" x14ac:dyDescent="0.15">
      <c r="C195" s="186"/>
      <c r="D195" s="205"/>
      <c r="E195" s="188"/>
      <c r="F195" s="226"/>
      <c r="G195" s="296" t="str">
        <f ca="1">IF(L195="b","",IF(L195="l",0,FIXED(F195,K195,0)&amp;M195))</f>
        <v/>
      </c>
      <c r="H195" s="187"/>
      <c r="I195" s="189"/>
      <c r="K195" s="215"/>
      <c r="L195" t="str">
        <f t="shared" ca="1" si="35"/>
        <v>b</v>
      </c>
      <c r="M195" t="str">
        <f>REPT(" ",3-K195)&amp;IF(K195=0," ","")</f>
        <v xml:space="preserve">    </v>
      </c>
      <c r="O195" s="194"/>
      <c r="P195" s="208">
        <f>IF(ISNUMBER(D195),LOOKUP(D195,$AB$5:$AC$7),D195)</f>
        <v>0</v>
      </c>
      <c r="Q195" s="208">
        <f>E195</f>
        <v>0</v>
      </c>
      <c r="R195" s="301" t="str">
        <f t="shared" ca="1" si="37"/>
        <v/>
      </c>
      <c r="S195" s="305">
        <f>H195</f>
        <v>0</v>
      </c>
      <c r="T195" s="513"/>
      <c r="U195" s="216">
        <f ca="1">IF(L195="l","",IF(D195+F195&gt;0,SUM(Z195:AA195),-1))</f>
        <v>-1</v>
      </c>
      <c r="V195" s="522"/>
      <c r="W195" s="107"/>
      <c r="Z195" s="114">
        <f>IF(D195&gt;0,0,TRUNC(F195*T195+Y195*X195))</f>
        <v>0</v>
      </c>
      <c r="AA195" t="b">
        <f>IF($D195=1,SUM(Z$13:Z193)-SUM(AA$13:AA193),IF($D195=2,$AA$6,IF($D195=3,TRUNC($AA$6,-3))))</f>
        <v>0</v>
      </c>
      <c r="AB195">
        <f ca="1">IF(OR(AC$8=0,L194="l",D195&gt;0,U195=-1),0,IF(L194="b",-U195,TRUNC(F194*T195)))</f>
        <v>0</v>
      </c>
      <c r="AC195" t="b">
        <f>IF($D195=1,SUM(AB$13:AB193)-SUM(AC$13:AC193),IF($D195=2,$AA$5,IF($D195=3,TRUNC($AA$5,-3))))</f>
        <v>0</v>
      </c>
    </row>
    <row r="196" spans="3:29" ht="15" customHeight="1" x14ac:dyDescent="0.15">
      <c r="C196" s="182"/>
      <c r="D196" s="210"/>
      <c r="E196" s="184"/>
      <c r="F196" s="227"/>
      <c r="G196" s="297" t="str">
        <f ca="1">IF(OR(AC$8=0,L196="b"),"",IF(L196="l",0,"("&amp;FIXED(-F196,K197,0)&amp;M196))</f>
        <v/>
      </c>
      <c r="H196" s="183"/>
      <c r="I196" s="185"/>
      <c r="L196" t="str">
        <f t="shared" ca="1" si="35"/>
        <v>b</v>
      </c>
      <c r="M196" t="str">
        <f>")"&amp;REPT(" ",2-K197)&amp;IF(K197=0," ","")</f>
        <v xml:space="preserve">)   </v>
      </c>
      <c r="O196" s="194"/>
      <c r="P196" s="207">
        <f>D196</f>
        <v>0</v>
      </c>
      <c r="Q196" s="207">
        <f t="shared" ref="Q196:Q213" si="38">E196</f>
        <v>0</v>
      </c>
      <c r="R196" s="300" t="str">
        <f t="shared" ca="1" si="37"/>
        <v/>
      </c>
      <c r="S196" s="304"/>
      <c r="T196" s="512"/>
      <c r="U196" s="206">
        <f ca="1">IF(OR(AC$8=0,SUM(Z197:AC197)=0),1,IF(L196="l","",SUM(AB197:AC197)))</f>
        <v>1</v>
      </c>
      <c r="V196" s="521"/>
      <c r="W196" s="50"/>
      <c r="Z196"/>
    </row>
    <row r="197" spans="3:29" ht="15" customHeight="1" x14ac:dyDescent="0.15">
      <c r="C197" s="186"/>
      <c r="D197" s="205"/>
      <c r="E197" s="188"/>
      <c r="F197" s="226"/>
      <c r="G197" s="296" t="str">
        <f ca="1">IF(L197="b","",IF(L197="l",0,FIXED(F197,K197,0)&amp;M197))</f>
        <v/>
      </c>
      <c r="H197" s="187"/>
      <c r="I197" s="189"/>
      <c r="K197" s="215"/>
      <c r="L197" t="str">
        <f t="shared" ca="1" si="35"/>
        <v>b</v>
      </c>
      <c r="M197" t="str">
        <f>REPT(" ",3-K197)&amp;IF(K197=0," ","")</f>
        <v xml:space="preserve">    </v>
      </c>
      <c r="O197" s="194"/>
      <c r="P197" s="208">
        <f>IF(ISNUMBER(D197),LOOKUP(D197,$AB$5:$AC$7),D197)</f>
        <v>0</v>
      </c>
      <c r="Q197" s="208">
        <f t="shared" si="38"/>
        <v>0</v>
      </c>
      <c r="R197" s="301" t="str">
        <f t="shared" ca="1" si="37"/>
        <v/>
      </c>
      <c r="S197" s="305">
        <f>H197</f>
        <v>0</v>
      </c>
      <c r="T197" s="513"/>
      <c r="U197" s="216">
        <f ca="1">IF(L197="l","",IF(D197+F197&gt;0,SUM(Z197:AA197),-1))</f>
        <v>-1</v>
      </c>
      <c r="V197" s="522"/>
      <c r="W197" s="107"/>
      <c r="Z197" s="114">
        <f>IF(D197&gt;0,0,TRUNC(F197*T197+Y197*X197))</f>
        <v>0</v>
      </c>
      <c r="AA197" t="b">
        <f>IF($D197=1,SUM(Z$13:Z195)-SUM(AA$13:AA195),IF($D197=2,$AA$6,IF($D197=3,TRUNC($AA$6,-3))))</f>
        <v>0</v>
      </c>
      <c r="AB197">
        <f ca="1">IF(OR(AC$8=0,L196="l",D197&gt;0,U197=-1),0,IF(L196="b",-U197,TRUNC(F196*T197)))</f>
        <v>0</v>
      </c>
      <c r="AC197" t="b">
        <f>IF($D197=1,SUM(AB$13:AB195)-SUM(AC$13:AC195),IF($D197=2,$AA$5,IF($D197=3,TRUNC($AA$5,-3))))</f>
        <v>0</v>
      </c>
    </row>
    <row r="198" spans="3:29" ht="15" customHeight="1" x14ac:dyDescent="0.15">
      <c r="C198" s="182"/>
      <c r="D198" s="210"/>
      <c r="E198" s="184"/>
      <c r="F198" s="227"/>
      <c r="G198" s="297" t="str">
        <f ca="1">IF(OR(AC$8=0,L198="b"),"",IF(L198="l",0,"("&amp;FIXED(-F198,K199,0)&amp;M198))</f>
        <v/>
      </c>
      <c r="H198" s="183"/>
      <c r="I198" s="185"/>
      <c r="L198" t="str">
        <f t="shared" ca="1" si="35"/>
        <v>b</v>
      </c>
      <c r="M198" t="str">
        <f>")"&amp;REPT(" ",2-K199)&amp;IF(K199=0," ","")</f>
        <v xml:space="preserve">)   </v>
      </c>
      <c r="O198" s="194"/>
      <c r="P198" s="207">
        <f>D198</f>
        <v>0</v>
      </c>
      <c r="Q198" s="207">
        <f t="shared" si="38"/>
        <v>0</v>
      </c>
      <c r="R198" s="300" t="str">
        <f t="shared" ca="1" si="37"/>
        <v/>
      </c>
      <c r="S198" s="304"/>
      <c r="T198" s="512"/>
      <c r="U198" s="206">
        <f ca="1">IF(OR(AC$8=0,SUM(Z199:AC199)=0),1,IF(L198="l","",SUM(AB199:AC199)))</f>
        <v>1</v>
      </c>
      <c r="V198" s="521"/>
      <c r="W198" s="50"/>
      <c r="Z198"/>
    </row>
    <row r="199" spans="3:29" ht="15" customHeight="1" x14ac:dyDescent="0.15">
      <c r="C199" s="186"/>
      <c r="D199" s="205"/>
      <c r="E199" s="188"/>
      <c r="F199" s="226"/>
      <c r="G199" s="296" t="str">
        <f ca="1">IF(L199="b","",IF(L199="l",0,FIXED(F199,K199,0)&amp;M199))</f>
        <v/>
      </c>
      <c r="H199" s="187"/>
      <c r="I199" s="189"/>
      <c r="K199" s="215"/>
      <c r="L199" t="str">
        <f t="shared" ca="1" si="35"/>
        <v>b</v>
      </c>
      <c r="M199" t="str">
        <f>REPT(" ",3-K199)&amp;IF(K199=0," ","")</f>
        <v xml:space="preserve">    </v>
      </c>
      <c r="O199" s="194"/>
      <c r="P199" s="208">
        <f>IF(ISNUMBER(D199),LOOKUP(D199,$AB$5:$AC$7),D199)</f>
        <v>0</v>
      </c>
      <c r="Q199" s="208">
        <f t="shared" si="38"/>
        <v>0</v>
      </c>
      <c r="R199" s="301" t="str">
        <f t="shared" ca="1" si="37"/>
        <v/>
      </c>
      <c r="S199" s="305">
        <f>H199</f>
        <v>0</v>
      </c>
      <c r="T199" s="513"/>
      <c r="U199" s="216">
        <f ca="1">IF(L199="l","",IF(D199+F199&gt;0,SUM(Z199:AA199),-1))</f>
        <v>-1</v>
      </c>
      <c r="V199" s="522"/>
      <c r="W199" s="107"/>
      <c r="Z199" s="114">
        <f>IF(D199&gt;0,0,TRUNC(F199*T199+Y199*X199))</f>
        <v>0</v>
      </c>
      <c r="AA199" t="b">
        <f>IF($D199=1,SUM(Z$13:Z197)-SUM(AA$13:AA197),IF($D199=2,$AA$6,IF($D199=3,TRUNC($AA$6,-3))))</f>
        <v>0</v>
      </c>
      <c r="AB199">
        <f ca="1">IF(OR(AC$8=0,L198="l",D199&gt;0,U199=-1),0,IF(L198="b",-U199,TRUNC(F198*T199)))</f>
        <v>0</v>
      </c>
      <c r="AC199" t="b">
        <f>IF($D199=1,SUM(AB$13:AB197)-SUM(AC$13:AC197),IF($D199=2,$AA$5,IF($D199=3,TRUNC($AA$5,-3))))</f>
        <v>0</v>
      </c>
    </row>
    <row r="200" spans="3:29" ht="15" customHeight="1" x14ac:dyDescent="0.15">
      <c r="C200" s="182"/>
      <c r="D200" s="210"/>
      <c r="E200" s="184"/>
      <c r="F200" s="227"/>
      <c r="G200" s="297" t="str">
        <f ca="1">IF(OR(AC$8=0,L200="b"),"",IF(L200="l",0,"("&amp;FIXED(-F200,K201,0)&amp;M200))</f>
        <v/>
      </c>
      <c r="H200" s="183"/>
      <c r="I200" s="185"/>
      <c r="L200" t="str">
        <f t="shared" ca="1" si="35"/>
        <v>b</v>
      </c>
      <c r="M200" t="str">
        <f>")"&amp;REPT(" ",2-K201)&amp;IF(K201=0," ","")</f>
        <v xml:space="preserve">)   </v>
      </c>
      <c r="O200" s="194"/>
      <c r="P200" s="207">
        <f>D200</f>
        <v>0</v>
      </c>
      <c r="Q200" s="207">
        <f t="shared" si="38"/>
        <v>0</v>
      </c>
      <c r="R200" s="300" t="str">
        <f t="shared" ca="1" si="37"/>
        <v/>
      </c>
      <c r="S200" s="304"/>
      <c r="T200" s="512"/>
      <c r="U200" s="206">
        <f ca="1">IF(OR(AC$8=0,SUM(Z201:AC201)=0),1,IF(L200="l","",SUM(AB201:AC201)))</f>
        <v>1</v>
      </c>
      <c r="V200" s="521"/>
      <c r="W200" s="50"/>
      <c r="Z200"/>
    </row>
    <row r="201" spans="3:29" ht="15" customHeight="1" x14ac:dyDescent="0.15">
      <c r="C201" s="186"/>
      <c r="D201" s="205"/>
      <c r="E201" s="188"/>
      <c r="F201" s="226"/>
      <c r="G201" s="296" t="str">
        <f ca="1">IF(L201="b","",IF(L201="l",0,FIXED(F201,K201,0)&amp;M201))</f>
        <v/>
      </c>
      <c r="H201" s="187"/>
      <c r="I201" s="189"/>
      <c r="K201" s="215"/>
      <c r="L201" t="str">
        <f t="shared" ca="1" si="35"/>
        <v>b</v>
      </c>
      <c r="M201" t="str">
        <f>REPT(" ",3-K201)&amp;IF(K201=0," ","")</f>
        <v xml:space="preserve">    </v>
      </c>
      <c r="O201" s="194"/>
      <c r="P201" s="208">
        <f>IF(ISNUMBER(D201),LOOKUP(D201,$AB$5:$AC$7),D201)</f>
        <v>0</v>
      </c>
      <c r="Q201" s="208">
        <f t="shared" si="38"/>
        <v>0</v>
      </c>
      <c r="R201" s="301" t="str">
        <f t="shared" ca="1" si="37"/>
        <v/>
      </c>
      <c r="S201" s="305">
        <f>H201</f>
        <v>0</v>
      </c>
      <c r="T201" s="513"/>
      <c r="U201" s="216">
        <f ca="1">IF(L201="l","",IF(D201+F201&gt;0,SUM(Z201:AA201),-1))</f>
        <v>-1</v>
      </c>
      <c r="V201" s="524"/>
      <c r="W201" s="107"/>
      <c r="Z201" s="114">
        <f>IF(D201&gt;0,0,TRUNC(F201*T201+Y201*X201))</f>
        <v>0</v>
      </c>
      <c r="AA201" t="b">
        <f>IF($D201=1,SUM(Z$13:Z199)-SUM(AA$13:AA199),IF($D201=2,$AA$6,IF($D201=3,TRUNC($AA$6,-3))))</f>
        <v>0</v>
      </c>
      <c r="AB201">
        <f ca="1">IF(OR(AC$8=0,L200="l",D201&gt;0,U201=-1),0,IF(L200="b",-U201,TRUNC(F200*T201)))</f>
        <v>0</v>
      </c>
      <c r="AC201" t="b">
        <f>IF($D201=1,SUM(AB$13:AB199)-SUM(AC$13:AC199),IF($D201=2,$AA$5,IF($D201=3,TRUNC($AA$5,-3))))</f>
        <v>0</v>
      </c>
    </row>
    <row r="202" spans="3:29" ht="15" customHeight="1" x14ac:dyDescent="0.15">
      <c r="C202" s="182"/>
      <c r="D202" s="210"/>
      <c r="E202" s="184"/>
      <c r="F202" s="227"/>
      <c r="G202" s="297" t="str">
        <f ca="1">IF(OR(AC$8=0,L202="b"),"",IF(L202="l",0,"("&amp;FIXED(-F202,K203,0)&amp;M202))</f>
        <v/>
      </c>
      <c r="H202" s="183"/>
      <c r="I202" s="185"/>
      <c r="L202" t="str">
        <f t="shared" ca="1" si="35"/>
        <v>b</v>
      </c>
      <c r="M202" t="str">
        <f>")"&amp;REPT(" ",2-K203)&amp;IF(K203=0," ","")</f>
        <v xml:space="preserve">)   </v>
      </c>
      <c r="O202" s="194"/>
      <c r="P202" s="207">
        <f>D202</f>
        <v>0</v>
      </c>
      <c r="Q202" s="207">
        <f t="shared" si="38"/>
        <v>0</v>
      </c>
      <c r="R202" s="300" t="str">
        <f t="shared" ca="1" si="37"/>
        <v/>
      </c>
      <c r="S202" s="304"/>
      <c r="T202" s="512"/>
      <c r="U202" s="206">
        <f ca="1">IF(OR(AC$8=0,SUM(Z203:AC203)=0),1,IF(L202="l","",SUM(AB203:AC203)))</f>
        <v>1</v>
      </c>
      <c r="V202" s="521"/>
      <c r="W202" s="50"/>
      <c r="Z202"/>
    </row>
    <row r="203" spans="3:29" ht="15" customHeight="1" x14ac:dyDescent="0.15">
      <c r="C203" s="186"/>
      <c r="D203" s="205"/>
      <c r="E203" s="188"/>
      <c r="F203" s="226"/>
      <c r="G203" s="296" t="str">
        <f ca="1">IF(L203="b","",IF(L203="l",0,FIXED(F203,K203,0)&amp;M203))</f>
        <v/>
      </c>
      <c r="H203" s="187"/>
      <c r="I203" s="189"/>
      <c r="K203" s="215"/>
      <c r="L203" t="str">
        <f t="shared" ca="1" si="35"/>
        <v>b</v>
      </c>
      <c r="M203" t="str">
        <f>REPT(" ",3-K203)&amp;IF(K203=0," ","")</f>
        <v xml:space="preserve">    </v>
      </c>
      <c r="O203" s="194"/>
      <c r="P203" s="208">
        <f>IF(ISNUMBER(D203),LOOKUP(D203,$AB$5:$AC$7),D203)</f>
        <v>0</v>
      </c>
      <c r="Q203" s="208">
        <f t="shared" si="38"/>
        <v>0</v>
      </c>
      <c r="R203" s="301" t="str">
        <f t="shared" ca="1" si="37"/>
        <v/>
      </c>
      <c r="S203" s="305">
        <f>H203</f>
        <v>0</v>
      </c>
      <c r="T203" s="513"/>
      <c r="U203" s="216">
        <f ca="1">IF(L203="l","",IF(D203+F203&gt;0,SUM(Z203:AA203),-1))</f>
        <v>-1</v>
      </c>
      <c r="V203" s="525"/>
      <c r="W203" s="107"/>
      <c r="Z203" s="114">
        <f>IF(D203&gt;0,0,TRUNC(F203*T203+Y203*X203))</f>
        <v>0</v>
      </c>
      <c r="AA203" t="b">
        <f>IF($D203=1,SUM(Z$13:Z201)-SUM(AA$13:AA201),IF($D203=2,$AA$6,IF($D203=3,TRUNC($AA$6,-3))))</f>
        <v>0</v>
      </c>
      <c r="AB203">
        <f ca="1">IF(OR(AC$8=0,L202="l",D203&gt;0,U203=-1),0,IF(L202="b",-U203,TRUNC(F202*T203)))</f>
        <v>0</v>
      </c>
      <c r="AC203" t="b">
        <f>IF($D203=1,SUM(AB$13:AB201)-SUM(AC$13:AC201),IF($D203=2,$AA$5,IF($D203=3,TRUNC($AA$5,-3))))</f>
        <v>0</v>
      </c>
    </row>
    <row r="204" spans="3:29" ht="15" customHeight="1" x14ac:dyDescent="0.15">
      <c r="C204" s="182"/>
      <c r="D204" s="210"/>
      <c r="E204" s="184"/>
      <c r="F204" s="227"/>
      <c r="G204" s="297" t="str">
        <f ca="1">IF(OR(AC$8=0,L204="b"),"",IF(L204="l",0,"("&amp;FIXED(-F204,K205,0)&amp;M204))</f>
        <v/>
      </c>
      <c r="H204" s="183"/>
      <c r="I204" s="185"/>
      <c r="L204" t="str">
        <f t="shared" ca="1" si="35"/>
        <v>b</v>
      </c>
      <c r="M204" t="str">
        <f>")"&amp;REPT(" ",2-K205)&amp;IF(K205=0," ","")</f>
        <v xml:space="preserve">)   </v>
      </c>
      <c r="O204" s="194"/>
      <c r="P204" s="207">
        <f>D204</f>
        <v>0</v>
      </c>
      <c r="Q204" s="207">
        <f t="shared" si="38"/>
        <v>0</v>
      </c>
      <c r="R204" s="300" t="str">
        <f t="shared" ca="1" si="37"/>
        <v/>
      </c>
      <c r="S204" s="304"/>
      <c r="T204" s="512"/>
      <c r="U204" s="206">
        <f ca="1">IF(OR(AC$8=0,SUM(Z205:AC205)=0),1,IF(L204="l","",SUM(AB205:AC205)))</f>
        <v>1</v>
      </c>
      <c r="V204" s="521"/>
      <c r="W204" s="50"/>
      <c r="Z204"/>
    </row>
    <row r="205" spans="3:29" ht="15" customHeight="1" x14ac:dyDescent="0.15">
      <c r="C205" s="186"/>
      <c r="D205" s="205"/>
      <c r="E205" s="188"/>
      <c r="F205" s="226"/>
      <c r="G205" s="296" t="str">
        <f ca="1">IF(L205="b","",IF(L205="l",0,FIXED(F205,K205,0)&amp;M205))</f>
        <v/>
      </c>
      <c r="H205" s="187"/>
      <c r="I205" s="189"/>
      <c r="K205" s="215"/>
      <c r="L205" t="str">
        <f t="shared" ca="1" si="35"/>
        <v>b</v>
      </c>
      <c r="M205" t="str">
        <f>REPT(" ",3-K205)&amp;IF(K205=0," ","")</f>
        <v xml:space="preserve">    </v>
      </c>
      <c r="O205" s="194"/>
      <c r="P205" s="208">
        <f>IF(ISNUMBER(D205),LOOKUP(D205,$AB$5:$AC$7),D205)</f>
        <v>0</v>
      </c>
      <c r="Q205" s="208">
        <f t="shared" si="38"/>
        <v>0</v>
      </c>
      <c r="R205" s="301" t="str">
        <f t="shared" ca="1" si="37"/>
        <v/>
      </c>
      <c r="S205" s="305">
        <f>H205</f>
        <v>0</v>
      </c>
      <c r="T205" s="513"/>
      <c r="U205" s="216">
        <f ca="1">IF(L205="l","",IF(D205+F205&gt;0,SUM(Z205:AA205),-1))</f>
        <v>-1</v>
      </c>
      <c r="V205" s="524"/>
      <c r="W205" s="107"/>
      <c r="Z205" s="114">
        <f>IF(D205&gt;0,0,TRUNC(F205*T205+Y205*X205))</f>
        <v>0</v>
      </c>
      <c r="AA205" t="b">
        <f>IF($D205=1,SUM(Z$13:Z203)-SUM(AA$13:AA203),IF($D205=2,$AA$6,IF($D205=3,TRUNC($AA$6,-3))))</f>
        <v>0</v>
      </c>
      <c r="AB205">
        <f ca="1">IF(OR(AC$8=0,L204="l",D205&gt;0,U205=-1),0,IF(L204="b",-U205,TRUNC(F204*T205)))</f>
        <v>0</v>
      </c>
      <c r="AC205" t="b">
        <f>IF($D205=1,SUM(AB$13:AB203)-SUM(AC$13:AC203),IF($D205=2,$AA$5,IF($D205=3,TRUNC($AA$5,-3))))</f>
        <v>0</v>
      </c>
    </row>
    <row r="206" spans="3:29" ht="15" customHeight="1" x14ac:dyDescent="0.15">
      <c r="C206" s="182"/>
      <c r="D206" s="210"/>
      <c r="E206" s="184"/>
      <c r="F206" s="227"/>
      <c r="G206" s="297" t="str">
        <f ca="1">IF(OR(AC$8=0,L206="b"),"",IF(L206="l",0,"("&amp;FIXED(-F206,K207,0)&amp;M206))</f>
        <v/>
      </c>
      <c r="H206" s="183"/>
      <c r="I206" s="185"/>
      <c r="L206" t="str">
        <f t="shared" ca="1" si="35"/>
        <v>b</v>
      </c>
      <c r="M206" t="str">
        <f>")"&amp;REPT(" ",2-K207)&amp;IF(K207=0," ","")</f>
        <v xml:space="preserve">)   </v>
      </c>
      <c r="O206" s="194"/>
      <c r="P206" s="207">
        <f>D206</f>
        <v>0</v>
      </c>
      <c r="Q206" s="207">
        <f t="shared" si="38"/>
        <v>0</v>
      </c>
      <c r="R206" s="300" t="str">
        <f t="shared" ca="1" si="37"/>
        <v/>
      </c>
      <c r="S206" s="304"/>
      <c r="T206" s="512"/>
      <c r="U206" s="206">
        <f ca="1">IF(OR(AC$8=0,SUM(Z207:AC207)=0),1,IF(L206="l","",SUM(AB207:AC207)))</f>
        <v>1</v>
      </c>
      <c r="V206" s="521"/>
      <c r="W206" s="50"/>
      <c r="Z206"/>
    </row>
    <row r="207" spans="3:29" ht="15" customHeight="1" x14ac:dyDescent="0.15">
      <c r="C207" s="186"/>
      <c r="D207" s="205"/>
      <c r="E207" s="188"/>
      <c r="F207" s="226"/>
      <c r="G207" s="296" t="str">
        <f ca="1">IF(L207="b","",IF(L207="l",0,FIXED(F207,K207,0)&amp;M207))</f>
        <v/>
      </c>
      <c r="H207" s="187"/>
      <c r="I207" s="189"/>
      <c r="K207" s="215"/>
      <c r="L207" t="str">
        <f t="shared" ca="1" si="35"/>
        <v>b</v>
      </c>
      <c r="M207" t="str">
        <f>REPT(" ",3-K207)&amp;IF(K207=0," ","")</f>
        <v xml:space="preserve">    </v>
      </c>
      <c r="O207" s="194"/>
      <c r="P207" s="208">
        <f>IF(ISNUMBER(D207),LOOKUP(D207,$AB$5:$AC$7),D207)</f>
        <v>0</v>
      </c>
      <c r="Q207" s="208">
        <f t="shared" si="38"/>
        <v>0</v>
      </c>
      <c r="R207" s="301" t="str">
        <f t="shared" ca="1" si="37"/>
        <v/>
      </c>
      <c r="S207" s="305">
        <f>H207</f>
        <v>0</v>
      </c>
      <c r="T207" s="513"/>
      <c r="U207" s="216">
        <f ca="1">IF(L207="l","",IF(D207+F207&gt;0,SUM(Z207:AA207),-1))</f>
        <v>-1</v>
      </c>
      <c r="V207" s="526"/>
      <c r="W207" s="107"/>
      <c r="Z207" s="114">
        <f>IF(D207&gt;0,0,TRUNC(F207*T207+Y207*X207))</f>
        <v>0</v>
      </c>
      <c r="AA207" t="b">
        <f>IF($D207=1,SUM(Z$13:Z205)-SUM(AA$13:AA205),IF($D207=2,$AA$6,IF($D207=3,TRUNC($AA$6,-3))))</f>
        <v>0</v>
      </c>
      <c r="AB207">
        <f ca="1">IF(OR(AC$8=0,L206="l",D207&gt;0,U207=-1),0,IF(L206="b",-U207,TRUNC(F206*T207)))</f>
        <v>0</v>
      </c>
      <c r="AC207" t="b">
        <f>IF($D207=1,SUM(AB$13:AB205)-SUM(AC$13:AC205),IF($D207=2,$AA$5,IF($D207=3,TRUNC($AA$5,-3))))</f>
        <v>0</v>
      </c>
    </row>
    <row r="208" spans="3:29" ht="15" customHeight="1" x14ac:dyDescent="0.15">
      <c r="C208" s="182"/>
      <c r="D208" s="210"/>
      <c r="E208" s="184"/>
      <c r="F208" s="227"/>
      <c r="G208" s="297" t="str">
        <f ca="1">IF(OR(AC$8=0,L208="b"),"",IF(L208="l",0,"("&amp;FIXED(-F208,K209,0)&amp;M208))</f>
        <v/>
      </c>
      <c r="H208" s="183"/>
      <c r="I208" s="185"/>
      <c r="L208" t="str">
        <f t="shared" ca="1" si="35"/>
        <v>b</v>
      </c>
      <c r="M208" t="str">
        <f>")"&amp;REPT(" ",2-K209)&amp;IF(K209=0," ","")</f>
        <v xml:space="preserve">)   </v>
      </c>
      <c r="O208" s="194"/>
      <c r="P208" s="207">
        <f>D208</f>
        <v>0</v>
      </c>
      <c r="Q208" s="207">
        <f t="shared" si="38"/>
        <v>0</v>
      </c>
      <c r="R208" s="300" t="str">
        <f t="shared" ca="1" si="37"/>
        <v/>
      </c>
      <c r="S208" s="304"/>
      <c r="T208" s="512"/>
      <c r="U208" s="206">
        <f ca="1">IF(OR(AC$8=0,SUM(Z209:AC209)=0),1,IF(L208="l","",SUM(AB209:AC209)))</f>
        <v>1</v>
      </c>
      <c r="V208" s="521"/>
      <c r="W208" s="50"/>
      <c r="Z208"/>
    </row>
    <row r="209" spans="1:29" ht="15" customHeight="1" x14ac:dyDescent="0.15">
      <c r="C209" s="186"/>
      <c r="D209" s="205">
        <v>2</v>
      </c>
      <c r="E209" s="188"/>
      <c r="F209" s="226"/>
      <c r="G209" s="296" t="str">
        <f ca="1">IF(L209="b","",IF(L209="l",0,FIXED(F209,K209,0)&amp;M209))</f>
        <v/>
      </c>
      <c r="H209" s="187"/>
      <c r="I209" s="189"/>
      <c r="K209" s="215"/>
      <c r="L209" t="str">
        <f t="shared" ca="1" si="35"/>
        <v>b</v>
      </c>
      <c r="M209" t="str">
        <f>REPT(" ",3-K209)&amp;IF(K209=0," ","")</f>
        <v xml:space="preserve">    </v>
      </c>
      <c r="O209" s="194"/>
      <c r="P209" s="208" t="str">
        <f>IF(ISNUMBER(D209),LOOKUP(D209,$AB$5:$AC$7),D209)</f>
        <v>合　　　計</v>
      </c>
      <c r="Q209" s="208">
        <f t="shared" si="38"/>
        <v>0</v>
      </c>
      <c r="R209" s="301" t="str">
        <f t="shared" ca="1" si="37"/>
        <v/>
      </c>
      <c r="S209" s="305">
        <f>H209</f>
        <v>0</v>
      </c>
      <c r="T209" s="513"/>
      <c r="U209" s="216">
        <f ca="1">IF(L209="l","",IF(D209+F209&gt;0,SUM(Z209:AA209),-1))</f>
        <v>1184747</v>
      </c>
      <c r="V209" s="524"/>
      <c r="W209" s="107"/>
      <c r="Z209" s="114">
        <f>IF(D209&gt;0,0,TRUNC(F209*T209+Y209*X209))</f>
        <v>0</v>
      </c>
      <c r="AA209">
        <f ca="1">IF($D209=1,SUM(Z$13:Z207)-SUM(AA$13:AA207),IF($D209=2,$AA$6,IF($D209=3,TRUNC($AA$6,-3))))</f>
        <v>1184747</v>
      </c>
      <c r="AB209">
        <f ca="1">IF(OR(AC$8=0,L208="l",D209&gt;0,U209=-1),0,IF(L208="b",-U209,TRUNC(F208*T209)))</f>
        <v>0</v>
      </c>
      <c r="AC209">
        <f ca="1">IF($D209=1,SUM(AB$13:AB207)-SUM(AC$13:AC207),IF($D209=2,$AA$5,IF($D209=3,TRUNC($AA$5,-3))))</f>
        <v>0</v>
      </c>
    </row>
    <row r="210" spans="1:29" ht="15" customHeight="1" x14ac:dyDescent="0.15">
      <c r="C210" s="182"/>
      <c r="D210" s="210"/>
      <c r="E210" s="184"/>
      <c r="F210" s="227"/>
      <c r="G210" s="297" t="str">
        <f ca="1">IF(OR(AC$8=0,L210="b"),"",IF(L210="l",0,"("&amp;FIXED(-F210,K211,0)&amp;M210))</f>
        <v/>
      </c>
      <c r="H210" s="183"/>
      <c r="I210" s="185"/>
      <c r="L210" t="str">
        <f t="shared" ca="1" si="35"/>
        <v>b</v>
      </c>
      <c r="M210" t="str">
        <f>")"&amp;REPT(" ",2-K211)&amp;IF(K211=0," ","")</f>
        <v xml:space="preserve">)   </v>
      </c>
      <c r="O210" s="194"/>
      <c r="P210" s="207">
        <f>D210</f>
        <v>0</v>
      </c>
      <c r="Q210" s="207">
        <f t="shared" si="38"/>
        <v>0</v>
      </c>
      <c r="R210" s="300" t="str">
        <f t="shared" ca="1" si="37"/>
        <v/>
      </c>
      <c r="S210" s="304"/>
      <c r="T210" s="512"/>
      <c r="U210" s="206">
        <f ca="1">IF(OR(AC$8=0,SUM(Z211:AC211)=0),1,IF(L210="l","",SUM(AB211:AC211)))</f>
        <v>1</v>
      </c>
      <c r="V210" s="521"/>
      <c r="W210" s="50"/>
      <c r="Z210"/>
    </row>
    <row r="211" spans="1:29" ht="15" customHeight="1" x14ac:dyDescent="0.15">
      <c r="C211" s="186"/>
      <c r="D211" s="205">
        <v>3</v>
      </c>
      <c r="E211" s="188"/>
      <c r="F211" s="226"/>
      <c r="G211" s="296" t="str">
        <f ca="1">IF(L211="b","",IF(L211="l",0,FIXED(F211,K211,0)&amp;M211))</f>
        <v/>
      </c>
      <c r="H211" s="187"/>
      <c r="I211" s="189"/>
      <c r="K211" s="215"/>
      <c r="L211" t="str">
        <f t="shared" ca="1" si="35"/>
        <v>b</v>
      </c>
      <c r="M211" t="str">
        <f>REPT(" ",3-K211)&amp;IF(K211=0," ","")</f>
        <v xml:space="preserve">    </v>
      </c>
      <c r="O211" s="194"/>
      <c r="P211" s="208" t="str">
        <f>IF(ISNUMBER(D211),LOOKUP(D211,$AB$5:$AC$7),D211)</f>
        <v>改　　　め</v>
      </c>
      <c r="Q211" s="208">
        <f t="shared" si="38"/>
        <v>0</v>
      </c>
      <c r="R211" s="301" t="str">
        <f t="shared" ca="1" si="37"/>
        <v/>
      </c>
      <c r="S211" s="305">
        <f>H211</f>
        <v>0</v>
      </c>
      <c r="T211" s="513"/>
      <c r="U211" s="216">
        <f ca="1">IF(L211="l","",IF(D211+F211&gt;0,SUM(Z211:AA211),-1))</f>
        <v>1184000</v>
      </c>
      <c r="V211" s="524"/>
      <c r="W211" s="107"/>
      <c r="Z211" s="114">
        <f>IF(D211&gt;0,0,TRUNC(F211*T211+Y211*X211))</f>
        <v>0</v>
      </c>
      <c r="AA211">
        <f ca="1">IF($D211=1,SUM(Z$13:Z209)-SUM(AA$13:AA209),IF($D211=2,$AA$6,IF($D211=3,TRUNC($AA$6,-3))))</f>
        <v>1184000</v>
      </c>
      <c r="AB211">
        <f ca="1">IF(OR(AC$8=0,L210="l",D211&gt;0,U211=-1),0,IF(L210="b",-U211,TRUNC(F210*T211)))</f>
        <v>0</v>
      </c>
      <c r="AC211">
        <f ca="1">IF($D211=1,SUM(AB$13:AB209)-SUM(AC$13:AC209),IF($D211=2,$AA$5,IF($D211=3,TRUNC($AA$5,-3))))</f>
        <v>0</v>
      </c>
    </row>
    <row r="212" spans="1:29" ht="15" customHeight="1" x14ac:dyDescent="0.15">
      <c r="C212" s="182"/>
      <c r="D212" s="210"/>
      <c r="E212" s="184"/>
      <c r="F212" s="227"/>
      <c r="G212" s="297" t="str">
        <f ca="1">IF(OR(AC$8=0,L212="b"),"",IF(L212="l",0,"("&amp;FIXED(-F212,K213,0)&amp;M212))</f>
        <v/>
      </c>
      <c r="H212" s="183"/>
      <c r="I212" s="185"/>
      <c r="L212" t="str">
        <f t="shared" ca="1" si="35"/>
        <v>b</v>
      </c>
      <c r="M212" t="str">
        <f>")"&amp;REPT(" ",2-K213)&amp;IF(K213=0," ","")</f>
        <v xml:space="preserve">)   </v>
      </c>
      <c r="O212" s="182"/>
      <c r="P212" s="207">
        <f>D212</f>
        <v>0</v>
      </c>
      <c r="Q212" s="207">
        <f t="shared" si="38"/>
        <v>0</v>
      </c>
      <c r="R212" s="300" t="str">
        <f t="shared" ca="1" si="37"/>
        <v/>
      </c>
      <c r="S212" s="304"/>
      <c r="T212" s="512"/>
      <c r="U212" s="206">
        <f ca="1">IF(OR(AC$8=0,SUM(Z213:AC213)=0),1,IF(L212="l","",SUM(AB213:AC213)))</f>
        <v>1</v>
      </c>
      <c r="V212" s="521"/>
      <c r="W212" s="50"/>
      <c r="Z212"/>
    </row>
    <row r="213" spans="1:29" ht="15" customHeight="1" thickBot="1" x14ac:dyDescent="0.2">
      <c r="C213" s="190"/>
      <c r="D213" s="211"/>
      <c r="E213" s="192"/>
      <c r="F213" s="228"/>
      <c r="G213" s="299" t="str">
        <f ca="1">IF(L213="b","",IF(L213="l",0,FIXED(F213,K213,0)&amp;M213))</f>
        <v/>
      </c>
      <c r="H213" s="191"/>
      <c r="I213" s="193"/>
      <c r="K213" s="215"/>
      <c r="L213" t="str">
        <f t="shared" ca="1" si="35"/>
        <v>b</v>
      </c>
      <c r="M213" t="str">
        <f>REPT(" ",3-K213)&amp;IF(K213=0," ","")</f>
        <v xml:space="preserve">    </v>
      </c>
      <c r="O213" s="190"/>
      <c r="P213" s="209">
        <f>IF(ISNUMBER(D213),LOOKUP(D213,$AB$5:$AC$7),D213)</f>
        <v>0</v>
      </c>
      <c r="Q213" s="209">
        <f t="shared" si="38"/>
        <v>0</v>
      </c>
      <c r="R213" s="302" t="str">
        <f t="shared" ca="1" si="37"/>
        <v/>
      </c>
      <c r="S213" s="306">
        <f>H213</f>
        <v>0</v>
      </c>
      <c r="T213" s="520"/>
      <c r="U213" s="217">
        <f ca="1">IF(L213="l","",IF(D213+F213&gt;0,SUM(Z213:AA213),-1))</f>
        <v>-1</v>
      </c>
      <c r="V213" s="527"/>
      <c r="W213" s="55"/>
      <c r="Z213" s="114">
        <f>IF(D213&gt;0,0,TRUNC(F213*T213+Y213*X213))</f>
        <v>0</v>
      </c>
      <c r="AA213" t="b">
        <f>IF($D213=1,SUM(Z$13:Z211)-SUM(AA$13:AA211),IF($D213=2,$AA$6,IF($D213=3,TRUNC($AA$6,-3))))</f>
        <v>0</v>
      </c>
      <c r="AB213">
        <f ca="1">IF(OR(AC$8=0,L212="l",D213&gt;0,U213=-1),0,IF(L212="b",-U213,TRUNC(F212*T213)))</f>
        <v>0</v>
      </c>
      <c r="AC213" t="b">
        <f>IF($D213=1,SUM(AB$13:AB211)-SUM(AC$13:AC211),IF($D213=2,$AA$5,IF($D213=3,TRUNC($AA$5,-3))))</f>
        <v>0</v>
      </c>
    </row>
    <row r="214" spans="1:29" ht="13.5" customHeight="1" thickBot="1" x14ac:dyDescent="0.2">
      <c r="A214" s="257" t="b">
        <f>SUM(F219:F281)&gt;0</f>
        <v>0</v>
      </c>
      <c r="B214" s="257"/>
      <c r="C214" s="257"/>
      <c r="D214" s="257"/>
      <c r="E214" s="257"/>
      <c r="F214" s="257"/>
      <c r="G214" s="100" t="str">
        <f>G144</f>
        <v>電気設備(引込)</v>
      </c>
      <c r="H214" s="257"/>
      <c r="I214" s="257" t="str">
        <f ca="1">"( "&amp;FIXED(SUM(A$8:A214),0)&amp;" ／ "&amp;FIXED(B$8,0)&amp;" )"</f>
        <v>( 3 ／ 3 )</v>
      </c>
      <c r="J214" s="257"/>
      <c r="K214" s="257"/>
      <c r="L214" s="257"/>
      <c r="M214" s="257"/>
      <c r="N214" s="257"/>
      <c r="O214" s="257"/>
      <c r="P214" s="257"/>
      <c r="Q214" s="257"/>
      <c r="R214" s="257"/>
      <c r="S214" s="257"/>
      <c r="T214" s="257"/>
      <c r="U214" s="258" t="str">
        <f>G214</f>
        <v>電気設備(引込)</v>
      </c>
      <c r="V214" s="390"/>
      <c r="W214" s="257" t="str">
        <f ca="1">I214</f>
        <v>( 3 ／ 3 )</v>
      </c>
      <c r="Z214"/>
    </row>
    <row r="215" spans="1:29" ht="13.5" customHeight="1" x14ac:dyDescent="0.15">
      <c r="C215" s="16"/>
      <c r="D215" s="102"/>
      <c r="E215" s="102"/>
      <c r="F215" s="18"/>
      <c r="G215" s="102"/>
      <c r="H215" s="102"/>
      <c r="I215" s="48"/>
      <c r="O215" s="780" t="s">
        <v>258</v>
      </c>
      <c r="P215" s="47"/>
      <c r="Q215" s="47"/>
      <c r="R215" s="102"/>
      <c r="S215" s="47"/>
      <c r="T215" s="109" t="s">
        <v>88</v>
      </c>
      <c r="U215" s="110"/>
      <c r="V215" s="781" t="s">
        <v>257</v>
      </c>
      <c r="W215" s="48"/>
    </row>
    <row r="216" spans="1:29" ht="13.5" customHeight="1" x14ac:dyDescent="0.15">
      <c r="C216" s="24" t="s">
        <v>222</v>
      </c>
      <c r="D216" s="6" t="s">
        <v>223</v>
      </c>
      <c r="E216" s="7" t="s">
        <v>224</v>
      </c>
      <c r="F216" s="25"/>
      <c r="G216" s="6" t="s">
        <v>105</v>
      </c>
      <c r="H216" s="6" t="s">
        <v>92</v>
      </c>
      <c r="I216" s="69" t="s">
        <v>225</v>
      </c>
      <c r="O216" s="752"/>
      <c r="P216" s="6" t="s">
        <v>89</v>
      </c>
      <c r="Q216" s="6" t="s">
        <v>90</v>
      </c>
      <c r="R216" s="7" t="s">
        <v>91</v>
      </c>
      <c r="S216" s="6" t="s">
        <v>92</v>
      </c>
      <c r="T216" s="6" t="s">
        <v>93</v>
      </c>
      <c r="U216" s="6" t="s">
        <v>94</v>
      </c>
      <c r="V216" s="782"/>
      <c r="W216" s="106" t="s">
        <v>226</v>
      </c>
      <c r="Z216"/>
    </row>
    <row r="217" spans="1:29" ht="13.5" customHeight="1" thickBot="1" x14ac:dyDescent="0.2">
      <c r="C217" s="71"/>
      <c r="D217" s="40"/>
      <c r="E217" s="40"/>
      <c r="F217" s="36"/>
      <c r="G217" s="40"/>
      <c r="H217" s="40"/>
      <c r="I217" s="52"/>
      <c r="M217" t="s">
        <v>227</v>
      </c>
      <c r="O217" s="753"/>
      <c r="P217" s="39"/>
      <c r="Q217" s="39"/>
      <c r="R217" s="40"/>
      <c r="S217" s="39"/>
      <c r="T217" s="56" t="s">
        <v>96</v>
      </c>
      <c r="U217" s="56" t="s">
        <v>96</v>
      </c>
      <c r="V217" s="783"/>
      <c r="W217" s="52"/>
    </row>
    <row r="218" spans="1:29" ht="15" customHeight="1" thickTop="1" x14ac:dyDescent="0.15">
      <c r="C218" s="182"/>
      <c r="D218" s="210"/>
      <c r="E218" s="184"/>
      <c r="F218" s="227"/>
      <c r="G218" s="297" t="str">
        <f ca="1">IF(OR(AC$8=0,L218="b"),"",IF(L218="l",0,"("&amp;FIXED(-F218,K219,0)&amp;M218))</f>
        <v/>
      </c>
      <c r="H218" s="183"/>
      <c r="I218" s="185"/>
      <c r="L218" t="str">
        <f ca="1">CELL("type",F218)</f>
        <v>b</v>
      </c>
      <c r="M218" t="str">
        <f>")"&amp;REPT(" ",2-K219)&amp;IF(K219=0," ","")</f>
        <v xml:space="preserve">)   </v>
      </c>
      <c r="O218" s="182"/>
      <c r="P218" s="207">
        <f>D218</f>
        <v>0</v>
      </c>
      <c r="Q218" s="207">
        <f>E218</f>
        <v>0</v>
      </c>
      <c r="R218" s="300" t="str">
        <f ca="1">G218</f>
        <v/>
      </c>
      <c r="S218" s="304"/>
      <c r="T218" s="369"/>
      <c r="U218" s="206">
        <f ca="1">IF(OR(AC$8=0,SUM(Z219:AC219)=0),1,IF(L218="l","",SUM(AB219:AC219)))</f>
        <v>1</v>
      </c>
      <c r="V218" s="387"/>
      <c r="W218" s="50"/>
      <c r="Z218"/>
    </row>
    <row r="219" spans="1:29" ht="15" customHeight="1" x14ac:dyDescent="0.15">
      <c r="C219" s="186"/>
      <c r="D219" s="205"/>
      <c r="E219" s="188"/>
      <c r="F219" s="226"/>
      <c r="G219" s="296" t="str">
        <f ca="1">IF(L219="b","",IF(L219="l",0,FIXED(F219,K219,0)&amp;M219))</f>
        <v/>
      </c>
      <c r="H219" s="187"/>
      <c r="I219" s="189"/>
      <c r="K219" s="215"/>
      <c r="L219" t="str">
        <f ca="1">CELL("type",F219)</f>
        <v>b</v>
      </c>
      <c r="M219" t="str">
        <f>REPT(" ",3-K219)&amp;IF(K219=0," ","")</f>
        <v xml:space="preserve">    </v>
      </c>
      <c r="O219" s="182"/>
      <c r="P219" s="208">
        <f>IF(ISNUMBER(D219),LOOKUP(D219,$AB$5:$AC$7),D219)</f>
        <v>0</v>
      </c>
      <c r="Q219" s="208">
        <f>E219</f>
        <v>0</v>
      </c>
      <c r="R219" s="301" t="str">
        <f ca="1">G219</f>
        <v/>
      </c>
      <c r="S219" s="305">
        <f>H219</f>
        <v>0</v>
      </c>
      <c r="T219" s="370"/>
      <c r="U219" s="216">
        <f ca="1">IF(L219="l","",IF(D219+F219&gt;0,SUM(Z219:AA219),-1))</f>
        <v>-1</v>
      </c>
      <c r="V219" s="472"/>
      <c r="W219" s="107"/>
      <c r="Z219" s="114">
        <f>IF(D219&gt;0,0,TRUNC(F219*T219+Y219*X219))</f>
        <v>0</v>
      </c>
      <c r="AA219" t="b">
        <f>IF($D219=1,SUM(Z$13:Z217)-SUM(AA$13:AA217),IF($D219=2,$AA$6,IF($D219=3,TRUNC($AA$6,-3))))</f>
        <v>0</v>
      </c>
      <c r="AB219">
        <f ca="1">IF(OR(AC$8=0,L218="l",D219&gt;0,U219=-1),0,IF(L218="b",-U219,TRUNC(F218*T219)))</f>
        <v>0</v>
      </c>
      <c r="AC219" t="b">
        <f>IF($D219=1,SUM(AB$13:AB217)-SUM(AC$13:AC217),IF($D219=2,$AA$5,IF($D219=3,TRUNC($AA$5,-3))))</f>
        <v>0</v>
      </c>
    </row>
    <row r="220" spans="1:29" ht="15" customHeight="1" x14ac:dyDescent="0.15">
      <c r="C220" s="182"/>
      <c r="D220" s="210"/>
      <c r="E220" s="184"/>
      <c r="F220" s="227"/>
      <c r="G220" s="297" t="str">
        <f ca="1">IF(OR(AC$8=0,L220="b"),"",IF(L220="l",0,"("&amp;FIXED(-F220,K221,0)&amp;M220))</f>
        <v/>
      </c>
      <c r="H220" s="183"/>
      <c r="I220" s="185"/>
      <c r="L220" t="str">
        <f ca="1">CELL("type",F220)</f>
        <v>b</v>
      </c>
      <c r="M220" t="str">
        <f>")"&amp;REPT(" ",2-K221)&amp;IF(K221=0," ","")</f>
        <v xml:space="preserve">)   </v>
      </c>
      <c r="O220" s="194"/>
      <c r="P220" s="207">
        <f>D220</f>
        <v>0</v>
      </c>
      <c r="Q220" s="207">
        <f>E220</f>
        <v>0</v>
      </c>
      <c r="R220" s="300" t="str">
        <f ca="1">G220</f>
        <v/>
      </c>
      <c r="S220" s="304"/>
      <c r="T220" s="369"/>
      <c r="U220" s="206">
        <f ca="1">IF(OR(AC$8=0,SUM(Z221:AC221)=0),1,IF(L220="l","",SUM(AB221:AC221)))</f>
        <v>1</v>
      </c>
      <c r="V220" s="387"/>
      <c r="W220" s="50"/>
      <c r="Z220"/>
    </row>
    <row r="221" spans="1:29" ht="15" customHeight="1" x14ac:dyDescent="0.15">
      <c r="C221" s="186"/>
      <c r="D221" s="205"/>
      <c r="E221" s="188"/>
      <c r="F221" s="226"/>
      <c r="G221" s="296" t="str">
        <f ca="1">IF(L221="b","",IF(L221="l",0,FIXED(F221,K221,0)&amp;M221))</f>
        <v/>
      </c>
      <c r="H221" s="187"/>
      <c r="I221" s="189"/>
      <c r="K221" s="215"/>
      <c r="L221" t="str">
        <f ca="1">CELL("type",F221)</f>
        <v>b</v>
      </c>
      <c r="M221" t="str">
        <f>REPT(" ",3-K221)&amp;IF(K221=0," ","")</f>
        <v xml:space="preserve">    </v>
      </c>
      <c r="O221" s="194"/>
      <c r="P221" s="208">
        <f>IF(ISNUMBER(D221),LOOKUP(D221,$AB$5:$AC$7),D221)</f>
        <v>0</v>
      </c>
      <c r="Q221" s="208">
        <f>E221</f>
        <v>0</v>
      </c>
      <c r="R221" s="301" t="str">
        <f ca="1">G221</f>
        <v/>
      </c>
      <c r="S221" s="305">
        <f>H221</f>
        <v>0</v>
      </c>
      <c r="T221" s="370"/>
      <c r="U221" s="216">
        <f ca="1">IF(L221="l","",IF(D221+F221&gt;0,SUM(Z221:AA221),-1))</f>
        <v>-1</v>
      </c>
      <c r="V221" s="472"/>
      <c r="W221" s="107"/>
      <c r="Z221" s="114">
        <f>IF(D221&gt;0,0,TRUNC(F221*T221+Y221*X221))</f>
        <v>0</v>
      </c>
      <c r="AA221" t="b">
        <f>IF($D221=1,SUM(Z$13:Z219)-SUM(AA$13:AA219),IF($D221=2,$AA$6,IF($D221=3,TRUNC($AA$6,-3))))</f>
        <v>0</v>
      </c>
      <c r="AB221">
        <f ca="1">IF(OR(AC$8=0,L220="l",D221&gt;0,U221=-1),0,IF(L220="b",-U221,TRUNC(F220*T221)))</f>
        <v>0</v>
      </c>
      <c r="AC221" t="b">
        <f>IF($D221=1,SUM(AB$13:AB219)-SUM(AC$13:AC219),IF($D221=2,$AA$5,IF($D221=3,TRUNC($AA$5,-3))))</f>
        <v>0</v>
      </c>
    </row>
    <row r="222" spans="1:29" ht="15" customHeight="1" x14ac:dyDescent="0.15">
      <c r="C222" s="182"/>
      <c r="D222" s="210"/>
      <c r="E222" s="184"/>
      <c r="F222" s="227"/>
      <c r="G222" s="297" t="str">
        <f ca="1">IF(OR(AC$8=0,L222="b"),"",IF(L222="l",0,"("&amp;FIXED(-F222,K223,0)&amp;M222))</f>
        <v/>
      </c>
      <c r="H222" s="183"/>
      <c r="I222" s="185"/>
      <c r="L222" t="str">
        <f t="shared" ref="L222:L251" ca="1" si="39">CELL("type",F222)</f>
        <v>b</v>
      </c>
      <c r="M222" t="str">
        <f>")"&amp;REPT(" ",2-K223)&amp;IF(K223=0," ","")</f>
        <v xml:space="preserve">)   </v>
      </c>
      <c r="O222" s="194"/>
      <c r="P222" s="207">
        <f>D222</f>
        <v>0</v>
      </c>
      <c r="Q222" s="207">
        <f t="shared" ref="Q222:Q251" si="40">E222</f>
        <v>0</v>
      </c>
      <c r="R222" s="300" t="str">
        <f t="shared" ref="R222:R251" ca="1" si="41">G222</f>
        <v/>
      </c>
      <c r="S222" s="304"/>
      <c r="T222" s="369"/>
      <c r="U222" s="206">
        <f ca="1">IF(OR(AC$8=0,SUM(Z223:AC223)=0),1,IF(L222="l","",SUM(AB223:AC223)))</f>
        <v>1</v>
      </c>
      <c r="V222" s="387"/>
      <c r="W222" s="50"/>
      <c r="Z222"/>
    </row>
    <row r="223" spans="1:29" ht="15" customHeight="1" x14ac:dyDescent="0.15">
      <c r="C223" s="186"/>
      <c r="D223" s="205"/>
      <c r="E223" s="188"/>
      <c r="F223" s="226"/>
      <c r="G223" s="296" t="str">
        <f ca="1">IF(L223="b","",IF(L223="l",0,FIXED(F223,K223,0)&amp;M223))</f>
        <v/>
      </c>
      <c r="H223" s="187"/>
      <c r="I223" s="189"/>
      <c r="K223" s="215"/>
      <c r="L223" t="str">
        <f t="shared" ca="1" si="39"/>
        <v>b</v>
      </c>
      <c r="M223" t="str">
        <f>REPT(" ",3-K223)&amp;IF(K223=0," ","")</f>
        <v xml:space="preserve">    </v>
      </c>
      <c r="O223" s="194"/>
      <c r="P223" s="208">
        <f>IF(ISNUMBER(D223),LOOKUP(D223,$AB$5:$AC$7),D223)</f>
        <v>0</v>
      </c>
      <c r="Q223" s="208">
        <f t="shared" si="40"/>
        <v>0</v>
      </c>
      <c r="R223" s="301" t="str">
        <f t="shared" ca="1" si="41"/>
        <v/>
      </c>
      <c r="S223" s="305">
        <f>H223</f>
        <v>0</v>
      </c>
      <c r="T223" s="370"/>
      <c r="U223" s="216">
        <f ca="1">IF(L223="l","",IF(D223+F223&gt;0,SUM(Z223:AA223),-1))</f>
        <v>-1</v>
      </c>
      <c r="V223" s="472"/>
      <c r="W223" s="107"/>
      <c r="Z223" s="114">
        <f>IF(D223&gt;0,0,TRUNC(F223*T223+Y223*X223))</f>
        <v>0</v>
      </c>
      <c r="AA223" t="b">
        <f>IF($D223=1,SUM(Z$13:Z221)-SUM(AA$13:AA221),IF($D223=2,$AA$6,IF($D223=3,TRUNC($AA$6,-3))))</f>
        <v>0</v>
      </c>
      <c r="AB223">
        <f ca="1">IF(OR(AC$8=0,L222="l",D223&gt;0,U223=-1),0,IF(L222="b",-U223,TRUNC(F222*T223)))</f>
        <v>0</v>
      </c>
      <c r="AC223" t="b">
        <f>IF($D223=1,SUM(AB$13:AB221)-SUM(AC$13:AC221),IF($D223=2,$AA$5,IF($D223=3,TRUNC($AA$5,-3))))</f>
        <v>0</v>
      </c>
    </row>
    <row r="224" spans="1:29" ht="15" customHeight="1" x14ac:dyDescent="0.15">
      <c r="C224" s="182"/>
      <c r="D224" s="210"/>
      <c r="E224" s="184"/>
      <c r="F224" s="227"/>
      <c r="G224" s="297" t="str">
        <f ca="1">IF(OR(AC$8=0,L224="b"),"",IF(L224="l",0,"("&amp;FIXED(-F224,K225,0)&amp;M224))</f>
        <v/>
      </c>
      <c r="H224" s="183"/>
      <c r="I224" s="185"/>
      <c r="L224" t="str">
        <f t="shared" ca="1" si="39"/>
        <v>b</v>
      </c>
      <c r="M224" t="str">
        <f>")"&amp;REPT(" ",2-K225)&amp;IF(K225=0," ","")</f>
        <v xml:space="preserve">)   </v>
      </c>
      <c r="O224" s="194"/>
      <c r="P224" s="207">
        <f>D224</f>
        <v>0</v>
      </c>
      <c r="Q224" s="207">
        <f t="shared" si="40"/>
        <v>0</v>
      </c>
      <c r="R224" s="300" t="str">
        <f t="shared" ca="1" si="41"/>
        <v/>
      </c>
      <c r="S224" s="304"/>
      <c r="T224" s="369"/>
      <c r="U224" s="206">
        <f ca="1">IF(OR(AC$8=0,SUM(Z225:AC225)=0),1,IF(L224="l","",SUM(AB225:AC225)))</f>
        <v>1</v>
      </c>
      <c r="V224" s="387"/>
      <c r="W224" s="50"/>
      <c r="Z224"/>
    </row>
    <row r="225" spans="3:29" ht="15" customHeight="1" x14ac:dyDescent="0.15">
      <c r="C225" s="186"/>
      <c r="D225" s="205"/>
      <c r="E225" s="188"/>
      <c r="F225" s="226"/>
      <c r="G225" s="296" t="str">
        <f ca="1">IF(L225="b","",IF(L225="l",0,FIXED(F225,K225,0)&amp;M225))</f>
        <v/>
      </c>
      <c r="H225" s="187"/>
      <c r="I225" s="189"/>
      <c r="K225" s="215"/>
      <c r="L225" t="str">
        <f t="shared" ca="1" si="39"/>
        <v>b</v>
      </c>
      <c r="M225" t="str">
        <f>REPT(" ",3-K225)&amp;IF(K225=0," ","")</f>
        <v xml:space="preserve">    </v>
      </c>
      <c r="O225" s="194"/>
      <c r="P225" s="208">
        <f>IF(ISNUMBER(D225),LOOKUP(D225,$AB$5:$AC$7),D225)</f>
        <v>0</v>
      </c>
      <c r="Q225" s="208">
        <f t="shared" si="40"/>
        <v>0</v>
      </c>
      <c r="R225" s="301" t="str">
        <f t="shared" ca="1" si="41"/>
        <v/>
      </c>
      <c r="S225" s="305">
        <f>H225</f>
        <v>0</v>
      </c>
      <c r="T225" s="370"/>
      <c r="U225" s="216">
        <f ca="1">IF(L225="l","",IF(D225+F225&gt;0,SUM(Z225:AA225),-1))</f>
        <v>-1</v>
      </c>
      <c r="V225" s="472"/>
      <c r="W225" s="107"/>
      <c r="Z225" s="114">
        <f>IF(D225&gt;0,0,TRUNC(F225*T225+Y225*X225))</f>
        <v>0</v>
      </c>
      <c r="AA225" t="b">
        <f>IF($D225=1,SUM(Z$13:Z223)-SUM(AA$13:AA223),IF($D225=2,$AA$6,IF($D225=3,TRUNC($AA$6,-3))))</f>
        <v>0</v>
      </c>
      <c r="AB225">
        <f ca="1">IF(OR(AC$8=0,L224="l",D225&gt;0,U225=-1),0,IF(L224="b",-U225,TRUNC(F224*T225)))</f>
        <v>0</v>
      </c>
      <c r="AC225" t="b">
        <f>IF($D225=1,SUM(AB$13:AB223)-SUM(AC$13:AC223),IF($D225=2,$AA$5,IF($D225=3,TRUNC($AA$5,-3))))</f>
        <v>0</v>
      </c>
    </row>
    <row r="226" spans="3:29" ht="15" customHeight="1" x14ac:dyDescent="0.15">
      <c r="C226" s="182"/>
      <c r="D226" s="210"/>
      <c r="E226" s="184"/>
      <c r="F226" s="227"/>
      <c r="G226" s="297" t="str">
        <f ca="1">IF(OR(AC$8=0,L226="b"),"",IF(L226="l",0,"("&amp;FIXED(-F226,K227,0)&amp;M226))</f>
        <v/>
      </c>
      <c r="H226" s="183"/>
      <c r="I226" s="185"/>
      <c r="L226" t="str">
        <f t="shared" ca="1" si="39"/>
        <v>b</v>
      </c>
      <c r="M226" t="str">
        <f>")"&amp;REPT(" ",2-K227)&amp;IF(K227=0," ","")</f>
        <v xml:space="preserve">)   </v>
      </c>
      <c r="O226" s="194"/>
      <c r="P226" s="207">
        <f>D226</f>
        <v>0</v>
      </c>
      <c r="Q226" s="207">
        <f t="shared" si="40"/>
        <v>0</v>
      </c>
      <c r="R226" s="300" t="str">
        <f t="shared" ca="1" si="41"/>
        <v/>
      </c>
      <c r="S226" s="304"/>
      <c r="T226" s="369"/>
      <c r="U226" s="206">
        <f ca="1">IF(OR(AC$8=0,SUM(Z227:AC227)=0),1,IF(L226="l","",SUM(AB227:AC227)))</f>
        <v>1</v>
      </c>
      <c r="V226" s="387"/>
      <c r="W226" s="50"/>
      <c r="Z226"/>
    </row>
    <row r="227" spans="3:29" ht="15" customHeight="1" x14ac:dyDescent="0.15">
      <c r="C227" s="186"/>
      <c r="D227" s="205"/>
      <c r="E227" s="188"/>
      <c r="F227" s="226"/>
      <c r="G227" s="296" t="str">
        <f ca="1">IF(L227="b","",IF(L227="l",0,FIXED(F227,K227,0)&amp;M227))</f>
        <v/>
      </c>
      <c r="H227" s="187"/>
      <c r="I227" s="189"/>
      <c r="K227" s="215"/>
      <c r="L227" t="str">
        <f t="shared" ca="1" si="39"/>
        <v>b</v>
      </c>
      <c r="M227" t="str">
        <f>REPT(" ",3-K227)&amp;IF(K227=0," ","")</f>
        <v xml:space="preserve">    </v>
      </c>
      <c r="O227" s="194"/>
      <c r="P227" s="208">
        <f>IF(ISNUMBER(D227),LOOKUP(D227,$AB$5:$AC$7),D227)</f>
        <v>0</v>
      </c>
      <c r="Q227" s="208">
        <f t="shared" si="40"/>
        <v>0</v>
      </c>
      <c r="R227" s="301" t="str">
        <f t="shared" ca="1" si="41"/>
        <v/>
      </c>
      <c r="S227" s="305">
        <f>H227</f>
        <v>0</v>
      </c>
      <c r="T227" s="370"/>
      <c r="U227" s="216">
        <f ca="1">IF(L227="l","",IF(D227+F227&gt;0,SUM(Z227:AA227),-1))</f>
        <v>-1</v>
      </c>
      <c r="V227" s="472"/>
      <c r="W227" s="107"/>
      <c r="Z227" s="114">
        <f>IF(D227&gt;0,0,TRUNC(F227*T227+Y227*X227))</f>
        <v>0</v>
      </c>
      <c r="AA227" t="b">
        <f>IF($D227=1,SUM(Z$13:Z225)-SUM(AA$13:AA225),IF($D227=2,$AA$6,IF($D227=3,TRUNC($AA$6,-3))))</f>
        <v>0</v>
      </c>
      <c r="AB227">
        <f ca="1">IF(OR(AC$8=0,L226="l",D227&gt;0,U227=-1),0,IF(L226="b",-U227,TRUNC(F226*T227)))</f>
        <v>0</v>
      </c>
      <c r="AC227" t="b">
        <f>IF($D227=1,SUM(AB$13:AB225)-SUM(AC$13:AC225),IF($D227=2,$AA$5,IF($D227=3,TRUNC($AA$5,-3))))</f>
        <v>0</v>
      </c>
    </row>
    <row r="228" spans="3:29" ht="15" customHeight="1" x14ac:dyDescent="0.15">
      <c r="C228" s="182"/>
      <c r="D228" s="210"/>
      <c r="E228" s="184"/>
      <c r="F228" s="227"/>
      <c r="G228" s="297" t="str">
        <f ca="1">IF(OR(AC$8=0,L228="b"),"",IF(L228="l",0,"("&amp;FIXED(-F228,K229,0)&amp;M228))</f>
        <v/>
      </c>
      <c r="H228" s="183"/>
      <c r="I228" s="185"/>
      <c r="L228" t="str">
        <f t="shared" ca="1" si="39"/>
        <v>b</v>
      </c>
      <c r="M228" t="str">
        <f>")"&amp;REPT(" ",2-K229)&amp;IF(K229=0," ","")</f>
        <v xml:space="preserve">)   </v>
      </c>
      <c r="O228" s="194"/>
      <c r="P228" s="207">
        <f>D228</f>
        <v>0</v>
      </c>
      <c r="Q228" s="207">
        <f t="shared" si="40"/>
        <v>0</v>
      </c>
      <c r="R228" s="300" t="str">
        <f t="shared" ca="1" si="41"/>
        <v/>
      </c>
      <c r="S228" s="304"/>
      <c r="T228" s="369"/>
      <c r="U228" s="206">
        <f ca="1">IF(OR(AC$8=0,SUM(Z229:AC229)=0),1,IF(L228="l","",SUM(AB229:AC229)))</f>
        <v>1</v>
      </c>
      <c r="V228" s="387"/>
      <c r="W228" s="50"/>
      <c r="Z228"/>
    </row>
    <row r="229" spans="3:29" ht="15" customHeight="1" x14ac:dyDescent="0.15">
      <c r="C229" s="186"/>
      <c r="D229" s="205"/>
      <c r="E229" s="188"/>
      <c r="F229" s="226"/>
      <c r="G229" s="296" t="str">
        <f ca="1">IF(L229="b","",IF(L229="l",0,FIXED(F229,K229,0)&amp;M229))</f>
        <v/>
      </c>
      <c r="H229" s="187"/>
      <c r="I229" s="189"/>
      <c r="K229" s="215"/>
      <c r="L229" t="str">
        <f t="shared" ca="1" si="39"/>
        <v>b</v>
      </c>
      <c r="M229" t="str">
        <f>REPT(" ",3-K229)&amp;IF(K229=0," ","")</f>
        <v xml:space="preserve">    </v>
      </c>
      <c r="O229" s="194"/>
      <c r="P229" s="208">
        <f>IF(ISNUMBER(D229),LOOKUP(D229,$AB$5:$AC$7),D229)</f>
        <v>0</v>
      </c>
      <c r="Q229" s="208">
        <f t="shared" si="40"/>
        <v>0</v>
      </c>
      <c r="R229" s="301" t="str">
        <f t="shared" ca="1" si="41"/>
        <v/>
      </c>
      <c r="S229" s="305">
        <f>H229</f>
        <v>0</v>
      </c>
      <c r="T229" s="370"/>
      <c r="U229" s="216">
        <f ca="1">IF(L229="l","",IF(D229+F229&gt;0,SUM(Z229:AA229),-1))</f>
        <v>-1</v>
      </c>
      <c r="V229" s="472"/>
      <c r="W229" s="107"/>
      <c r="Z229" s="114">
        <f>IF(D229&gt;0,0,TRUNC(F229*T229+Y229*X229))</f>
        <v>0</v>
      </c>
      <c r="AA229" t="b">
        <f>IF($D229=1,SUM(Z$13:Z227)-SUM(AA$13:AA227),IF($D229=2,$AA$6,IF($D229=3,TRUNC($AA$6,-3))))</f>
        <v>0</v>
      </c>
      <c r="AB229">
        <f ca="1">IF(OR(AC$8=0,L228="l",D229&gt;0,U229=-1),0,IF(L228="b",-U229,TRUNC(F228*T229)))</f>
        <v>0</v>
      </c>
      <c r="AC229" t="b">
        <f>IF($D229=1,SUM(AB$13:AB227)-SUM(AC$13:AC227),IF($D229=2,$AA$5,IF($D229=3,TRUNC($AA$5,-3))))</f>
        <v>0</v>
      </c>
    </row>
    <row r="230" spans="3:29" ht="15" customHeight="1" x14ac:dyDescent="0.15">
      <c r="C230" s="182"/>
      <c r="D230" s="210"/>
      <c r="E230" s="184"/>
      <c r="F230" s="227"/>
      <c r="G230" s="297" t="str">
        <f ca="1">IF(OR(AC$8=0,L230="b"),"",IF(L230="l",0,"("&amp;FIXED(-F230,K231,0)&amp;M230))</f>
        <v/>
      </c>
      <c r="H230" s="183"/>
      <c r="I230" s="185"/>
      <c r="L230" t="str">
        <f t="shared" ca="1" si="39"/>
        <v>b</v>
      </c>
      <c r="M230" t="str">
        <f>")"&amp;REPT(" ",2-K231)&amp;IF(K231=0," ","")</f>
        <v xml:space="preserve">)   </v>
      </c>
      <c r="O230" s="194"/>
      <c r="P230" s="207">
        <f>D230</f>
        <v>0</v>
      </c>
      <c r="Q230" s="207">
        <f t="shared" si="40"/>
        <v>0</v>
      </c>
      <c r="R230" s="300" t="str">
        <f t="shared" ca="1" si="41"/>
        <v/>
      </c>
      <c r="S230" s="304"/>
      <c r="T230" s="369"/>
      <c r="U230" s="206">
        <f ca="1">IF(OR(AC$8=0,SUM(Z231:AC231)=0),1,IF(L230="l","",SUM(AB231:AC231)))</f>
        <v>1</v>
      </c>
      <c r="V230" s="387"/>
      <c r="W230" s="50"/>
      <c r="Z230"/>
    </row>
    <row r="231" spans="3:29" ht="15" customHeight="1" x14ac:dyDescent="0.15">
      <c r="C231" s="186"/>
      <c r="D231" s="205"/>
      <c r="E231" s="188"/>
      <c r="F231" s="226"/>
      <c r="G231" s="296" t="str">
        <f ca="1">IF(L231="b","",IF(L231="l",0,FIXED(F231,K231,0)&amp;M231))</f>
        <v/>
      </c>
      <c r="H231" s="187"/>
      <c r="I231" s="189"/>
      <c r="K231" s="215"/>
      <c r="L231" t="str">
        <f t="shared" ca="1" si="39"/>
        <v>b</v>
      </c>
      <c r="M231" t="str">
        <f>REPT(" ",3-K231)&amp;IF(K231=0," ","")</f>
        <v xml:space="preserve">    </v>
      </c>
      <c r="O231" s="194"/>
      <c r="P231" s="208">
        <f>IF(ISNUMBER(D231),LOOKUP(D231,$AB$5:$AC$7),D231)</f>
        <v>0</v>
      </c>
      <c r="Q231" s="208">
        <f t="shared" si="40"/>
        <v>0</v>
      </c>
      <c r="R231" s="301" t="str">
        <f t="shared" ca="1" si="41"/>
        <v/>
      </c>
      <c r="S231" s="305">
        <f>H231</f>
        <v>0</v>
      </c>
      <c r="T231" s="370"/>
      <c r="U231" s="216">
        <f ca="1">IF(L231="l","",IF(D231+F231&gt;0,SUM(Z231:AA231),-1))</f>
        <v>-1</v>
      </c>
      <c r="V231" s="472"/>
      <c r="W231" s="107"/>
      <c r="Z231" s="114">
        <f>IF(D231&gt;0,0,TRUNC(F231*T231+Y231*X231))</f>
        <v>0</v>
      </c>
      <c r="AA231" t="b">
        <f>IF($D231=1,SUM(Z$13:Z229)-SUM(AA$13:AA229),IF($D231=2,$AA$6,IF($D231=3,TRUNC($AA$6,-3))))</f>
        <v>0</v>
      </c>
      <c r="AB231">
        <f ca="1">IF(OR(AC$8=0,L230="l",D231&gt;0,U231=-1),0,IF(L230="b",-U231,TRUNC(F230*T231)))</f>
        <v>0</v>
      </c>
      <c r="AC231" t="b">
        <f>IF($D231=1,SUM(AB$13:AB229)-SUM(AC$13:AC229),IF($D231=2,$AA$5,IF($D231=3,TRUNC($AA$5,-3))))</f>
        <v>0</v>
      </c>
    </row>
    <row r="232" spans="3:29" ht="15" customHeight="1" x14ac:dyDescent="0.15">
      <c r="C232" s="182"/>
      <c r="D232" s="210"/>
      <c r="E232" s="184"/>
      <c r="F232" s="227"/>
      <c r="G232" s="297" t="str">
        <f ca="1">IF(OR(AC$8=0,L232="b"),"",IF(L232="l",0,"("&amp;FIXED(-F232,K233,0)&amp;M232))</f>
        <v/>
      </c>
      <c r="H232" s="183"/>
      <c r="I232" s="185"/>
      <c r="L232" t="str">
        <f t="shared" ca="1" si="39"/>
        <v>b</v>
      </c>
      <c r="M232" t="str">
        <f>")"&amp;REPT(" ",2-K233)&amp;IF(K233=0," ","")</f>
        <v xml:space="preserve">)   </v>
      </c>
      <c r="O232" s="194"/>
      <c r="P232" s="207">
        <f>D232</f>
        <v>0</v>
      </c>
      <c r="Q232" s="207">
        <f t="shared" si="40"/>
        <v>0</v>
      </c>
      <c r="R232" s="300" t="str">
        <f t="shared" ca="1" si="41"/>
        <v/>
      </c>
      <c r="S232" s="304"/>
      <c r="T232" s="369"/>
      <c r="U232" s="206">
        <f ca="1">IF(OR(AC$8=0,SUM(Z233:AC233)=0),1,IF(L232="l","",SUM(AB233:AC233)))</f>
        <v>1</v>
      </c>
      <c r="V232" s="387"/>
      <c r="W232" s="50"/>
      <c r="Z232"/>
    </row>
    <row r="233" spans="3:29" ht="15" customHeight="1" x14ac:dyDescent="0.15">
      <c r="C233" s="186"/>
      <c r="D233" s="205"/>
      <c r="E233" s="188"/>
      <c r="F233" s="226"/>
      <c r="G233" s="296" t="str">
        <f ca="1">IF(L233="b","",IF(L233="l",0,FIXED(F233,K233,0)&amp;M233))</f>
        <v/>
      </c>
      <c r="H233" s="187"/>
      <c r="I233" s="189"/>
      <c r="K233" s="215"/>
      <c r="L233" t="str">
        <f t="shared" ca="1" si="39"/>
        <v>b</v>
      </c>
      <c r="M233" t="str">
        <f>REPT(" ",3-K233)&amp;IF(K233=0," ","")</f>
        <v xml:space="preserve">    </v>
      </c>
      <c r="O233" s="194"/>
      <c r="P233" s="208">
        <f>IF(ISNUMBER(D233),LOOKUP(D233,$AB$5:$AC$7),D233)</f>
        <v>0</v>
      </c>
      <c r="Q233" s="208">
        <f t="shared" si="40"/>
        <v>0</v>
      </c>
      <c r="R233" s="301" t="str">
        <f t="shared" ca="1" si="41"/>
        <v/>
      </c>
      <c r="S233" s="305">
        <f>H233</f>
        <v>0</v>
      </c>
      <c r="T233" s="370"/>
      <c r="U233" s="216">
        <f ca="1">IF(L233="l","",IF(D233+F233&gt;0,SUM(Z233:AA233),-1))</f>
        <v>-1</v>
      </c>
      <c r="V233" s="388"/>
      <c r="W233" s="107"/>
      <c r="Z233" s="114">
        <f>IF(D233&gt;0,0,TRUNC(F233*T233+Y233*X233))</f>
        <v>0</v>
      </c>
      <c r="AA233" t="b">
        <f>IF($D233=1,SUM(Z$13:Z231)-SUM(AA$13:AA231),IF($D233=2,$AA$6,IF($D233=3,TRUNC($AA$6,-3))))</f>
        <v>0</v>
      </c>
      <c r="AB233">
        <f ca="1">IF(OR(AC$8=0,L232="l",D233&gt;0,U233=-1),0,IF(L232="b",-U233,TRUNC(F232*T233)))</f>
        <v>0</v>
      </c>
      <c r="AC233" t="b">
        <f>IF($D233=1,SUM(AB$13:AB231)-SUM(AC$13:AC231),IF($D233=2,$AA$5,IF($D233=3,TRUNC($AA$5,-3))))</f>
        <v>0</v>
      </c>
    </row>
    <row r="234" spans="3:29" ht="15" customHeight="1" x14ac:dyDescent="0.15">
      <c r="C234" s="182"/>
      <c r="D234" s="210"/>
      <c r="E234" s="184"/>
      <c r="F234" s="227"/>
      <c r="G234" s="297" t="str">
        <f ca="1">IF(OR(AC$8=0,L234="b"),"",IF(L234="l",0,"("&amp;FIXED(-F234,K235,0)&amp;M234))</f>
        <v/>
      </c>
      <c r="H234" s="183"/>
      <c r="I234" s="185"/>
      <c r="L234" t="str">
        <f t="shared" ca="1" si="39"/>
        <v>b</v>
      </c>
      <c r="M234" t="str">
        <f>")"&amp;REPT(" ",2-K235)&amp;IF(K235=0," ","")</f>
        <v xml:space="preserve">)   </v>
      </c>
      <c r="O234" s="194"/>
      <c r="P234" s="207">
        <f>D234</f>
        <v>0</v>
      </c>
      <c r="Q234" s="207">
        <f t="shared" si="40"/>
        <v>0</v>
      </c>
      <c r="R234" s="300" t="str">
        <f t="shared" ca="1" si="41"/>
        <v/>
      </c>
      <c r="S234" s="304"/>
      <c r="T234" s="369"/>
      <c r="U234" s="206">
        <f ca="1">IF(OR(AC$8=0,SUM(Z235:AC235)=0),1,IF(L234="l","",SUM(AB235:AC235)))</f>
        <v>1</v>
      </c>
      <c r="V234" s="387"/>
      <c r="W234" s="50"/>
      <c r="Z234"/>
    </row>
    <row r="235" spans="3:29" ht="15" customHeight="1" x14ac:dyDescent="0.15">
      <c r="C235" s="186"/>
      <c r="D235" s="205"/>
      <c r="E235" s="188"/>
      <c r="F235" s="226"/>
      <c r="G235" s="296" t="str">
        <f ca="1">IF(L235="b","",IF(L235="l",0,FIXED(F235,K235,0)&amp;M235))</f>
        <v/>
      </c>
      <c r="H235" s="187"/>
      <c r="I235" s="189"/>
      <c r="K235" s="215"/>
      <c r="L235" t="str">
        <f t="shared" ca="1" si="39"/>
        <v>b</v>
      </c>
      <c r="M235" t="str">
        <f>REPT(" ",3-K235)&amp;IF(K235=0," ","")</f>
        <v xml:space="preserve">    </v>
      </c>
      <c r="O235" s="194"/>
      <c r="P235" s="208">
        <f>IF(ISNUMBER(D235),LOOKUP(D235,$AB$5:$AC$7),D235)</f>
        <v>0</v>
      </c>
      <c r="Q235" s="208">
        <f t="shared" si="40"/>
        <v>0</v>
      </c>
      <c r="R235" s="301" t="str">
        <f t="shared" ca="1" si="41"/>
        <v/>
      </c>
      <c r="S235" s="305">
        <f>H235</f>
        <v>0</v>
      </c>
      <c r="T235" s="370"/>
      <c r="U235" s="216">
        <f ca="1">IF(L235="l","",IF(D235+F235&gt;0,SUM(Z235:AA235),-1))</f>
        <v>-1</v>
      </c>
      <c r="V235" s="388"/>
      <c r="W235" s="107"/>
      <c r="Z235" s="114">
        <f>IF(D235&gt;0,0,TRUNC(F235*T235+Y235*X235))</f>
        <v>0</v>
      </c>
      <c r="AA235" t="b">
        <f>IF($D235=1,SUM(Z$13:Z233)-SUM(AA$13:AA233),IF($D235=2,$AA$6,IF($D235=3,TRUNC($AA$6,-3))))</f>
        <v>0</v>
      </c>
      <c r="AB235">
        <f ca="1">IF(OR(AC$8=0,L234="l",D235&gt;0,U235=-1),0,IF(L234="b",-U235,TRUNC(F234*T235)))</f>
        <v>0</v>
      </c>
      <c r="AC235" t="b">
        <f>IF($D235=1,SUM(AB$13:AB233)-SUM(AC$13:AC233),IF($D235=2,$AA$5,IF($D235=3,TRUNC($AA$5,-3))))</f>
        <v>0</v>
      </c>
    </row>
    <row r="236" spans="3:29" ht="15" customHeight="1" x14ac:dyDescent="0.15">
      <c r="C236" s="182"/>
      <c r="D236" s="210"/>
      <c r="E236" s="184"/>
      <c r="F236" s="227"/>
      <c r="G236" s="297" t="str">
        <f ca="1">IF(OR(AC$8=0,L236="b"),"",IF(L236="l",0,"("&amp;FIXED(-F236,K237,0)&amp;M236))</f>
        <v/>
      </c>
      <c r="H236" s="183"/>
      <c r="I236" s="185"/>
      <c r="L236" t="str">
        <f t="shared" ca="1" si="39"/>
        <v>b</v>
      </c>
      <c r="M236" t="str">
        <f>")"&amp;REPT(" ",2-K237)&amp;IF(K237=0," ","")</f>
        <v xml:space="preserve">)   </v>
      </c>
      <c r="O236" s="194"/>
      <c r="P236" s="207">
        <f>D236</f>
        <v>0</v>
      </c>
      <c r="Q236" s="207">
        <f t="shared" si="40"/>
        <v>0</v>
      </c>
      <c r="R236" s="300" t="str">
        <f t="shared" ca="1" si="41"/>
        <v/>
      </c>
      <c r="S236" s="304"/>
      <c r="T236" s="369"/>
      <c r="U236" s="206">
        <f ca="1">IF(OR(AC$8=0,SUM(Z237:AC237)=0),1,IF(L236="l","",SUM(AB237:AC237)))</f>
        <v>1</v>
      </c>
      <c r="V236" s="387"/>
      <c r="W236" s="50"/>
      <c r="Z236"/>
    </row>
    <row r="237" spans="3:29" ht="15" customHeight="1" x14ac:dyDescent="0.15">
      <c r="C237" s="186"/>
      <c r="D237" s="205"/>
      <c r="E237" s="188"/>
      <c r="F237" s="226"/>
      <c r="G237" s="296" t="str">
        <f ca="1">IF(L237="b","",IF(L237="l",0,FIXED(F237,K237,0)&amp;M237))</f>
        <v/>
      </c>
      <c r="H237" s="187"/>
      <c r="I237" s="189"/>
      <c r="K237" s="215"/>
      <c r="L237" t="str">
        <f t="shared" ca="1" si="39"/>
        <v>b</v>
      </c>
      <c r="M237" t="str">
        <f>REPT(" ",3-K237)&amp;IF(K237=0," ","")</f>
        <v xml:space="preserve">    </v>
      </c>
      <c r="O237" s="194"/>
      <c r="P237" s="208">
        <f>IF(ISNUMBER(D237),LOOKUP(D237,$AB$5:$AC$7),D237)</f>
        <v>0</v>
      </c>
      <c r="Q237" s="208">
        <f t="shared" si="40"/>
        <v>0</v>
      </c>
      <c r="R237" s="301" t="str">
        <f t="shared" ca="1" si="41"/>
        <v/>
      </c>
      <c r="S237" s="305">
        <f>H237</f>
        <v>0</v>
      </c>
      <c r="T237" s="370"/>
      <c r="U237" s="216">
        <f ca="1">IF(L237="l","",IF(D237+F237&gt;0,SUM(Z237:AA237),-1))</f>
        <v>-1</v>
      </c>
      <c r="V237" s="388"/>
      <c r="W237" s="107"/>
      <c r="Z237" s="114">
        <f>IF(D237&gt;0,0,TRUNC(F237*T237+Y237*X237))</f>
        <v>0</v>
      </c>
      <c r="AA237" t="b">
        <f>IF($D237=1,SUM(Z$13:Z235)-SUM(AA$13:AA235),IF($D237=2,$AA$6,IF($D237=3,TRUNC($AA$6,-3))))</f>
        <v>0</v>
      </c>
      <c r="AB237">
        <f ca="1">IF(OR(AC$8=0,L236="l",D237&gt;0,U237=-1),0,IF(L236="b",-U237,TRUNC(F236*T237)))</f>
        <v>0</v>
      </c>
      <c r="AC237" t="b">
        <f>IF($D237=1,SUM(AB$13:AB235)-SUM(AC$13:AC235),IF($D237=2,$AA$5,IF($D237=3,TRUNC($AA$5,-3))))</f>
        <v>0</v>
      </c>
    </row>
    <row r="238" spans="3:29" ht="15" customHeight="1" x14ac:dyDescent="0.15">
      <c r="C238" s="182"/>
      <c r="D238" s="210"/>
      <c r="E238" s="184"/>
      <c r="F238" s="227"/>
      <c r="G238" s="297" t="str">
        <f ca="1">IF(OR(AC$8=0,L238="b"),"",IF(L238="l",0,"("&amp;FIXED(-F238,K239,0)&amp;M238))</f>
        <v/>
      </c>
      <c r="H238" s="183"/>
      <c r="I238" s="185"/>
      <c r="L238" t="str">
        <f t="shared" ca="1" si="39"/>
        <v>b</v>
      </c>
      <c r="M238" t="str">
        <f>")"&amp;REPT(" ",2-K239)&amp;IF(K239=0," ","")</f>
        <v xml:space="preserve">)   </v>
      </c>
      <c r="O238" s="194"/>
      <c r="P238" s="207">
        <f>D238</f>
        <v>0</v>
      </c>
      <c r="Q238" s="207">
        <f t="shared" si="40"/>
        <v>0</v>
      </c>
      <c r="R238" s="300" t="str">
        <f t="shared" ca="1" si="41"/>
        <v/>
      </c>
      <c r="S238" s="304"/>
      <c r="T238" s="369"/>
      <c r="U238" s="206">
        <f ca="1">IF(OR(AC$8=0,SUM(Z239:AC239)=0),1,IF(L238="l","",SUM(AB239:AC239)))</f>
        <v>1</v>
      </c>
      <c r="V238" s="387"/>
      <c r="W238" s="50"/>
      <c r="Z238"/>
    </row>
    <row r="239" spans="3:29" ht="15" customHeight="1" x14ac:dyDescent="0.15">
      <c r="C239" s="186"/>
      <c r="D239" s="205"/>
      <c r="E239" s="188"/>
      <c r="F239" s="226"/>
      <c r="G239" s="296" t="str">
        <f ca="1">IF(L239="b","",IF(L239="l",0,FIXED(F239,K239,0)&amp;M239))</f>
        <v/>
      </c>
      <c r="H239" s="187"/>
      <c r="I239" s="189"/>
      <c r="K239" s="215"/>
      <c r="L239" t="str">
        <f t="shared" ca="1" si="39"/>
        <v>b</v>
      </c>
      <c r="M239" t="str">
        <f>REPT(" ",3-K239)&amp;IF(K239=0," ","")</f>
        <v xml:space="preserve">    </v>
      </c>
      <c r="O239" s="194"/>
      <c r="P239" s="208">
        <f>IF(ISNUMBER(D239),LOOKUP(D239,$AB$5:$AC$7),D239)</f>
        <v>0</v>
      </c>
      <c r="Q239" s="208">
        <f t="shared" si="40"/>
        <v>0</v>
      </c>
      <c r="R239" s="301" t="str">
        <f t="shared" ca="1" si="41"/>
        <v/>
      </c>
      <c r="S239" s="305">
        <f>H239</f>
        <v>0</v>
      </c>
      <c r="T239" s="370"/>
      <c r="U239" s="216">
        <f ca="1">IF(L239="l","",IF(D239+F239&gt;0,SUM(Z239:AA239),-1))</f>
        <v>-1</v>
      </c>
      <c r="V239" s="388"/>
      <c r="W239" s="107"/>
      <c r="Z239" s="114">
        <f>IF(D239&gt;0,0,TRUNC(F239*T239+Y239*X239))</f>
        <v>0</v>
      </c>
      <c r="AA239" t="b">
        <f>IF($D239=1,SUM(Z$13:Z237)-SUM(AA$13:AA237),IF($D239=2,$AA$6,IF($D239=3,TRUNC($AA$6,-3))))</f>
        <v>0</v>
      </c>
      <c r="AB239">
        <f ca="1">IF(OR(AC$8=0,L238="l",D239&gt;0,U239=-1),0,IF(L238="b",-U239,TRUNC(F238*T239)))</f>
        <v>0</v>
      </c>
      <c r="AC239" t="b">
        <f>IF($D239=1,SUM(AB$13:AB237)-SUM(AC$13:AC237),IF($D239=2,$AA$5,IF($D239=3,TRUNC($AA$5,-3))))</f>
        <v>0</v>
      </c>
    </row>
    <row r="240" spans="3:29" ht="15" customHeight="1" x14ac:dyDescent="0.15">
      <c r="C240" s="182"/>
      <c r="D240" s="210"/>
      <c r="E240" s="184"/>
      <c r="F240" s="227"/>
      <c r="G240" s="297" t="str">
        <f ca="1">IF(OR(AC$8=0,L240="b"),"",IF(L240="l",0,"("&amp;FIXED(-F240,K241,0)&amp;M240))</f>
        <v/>
      </c>
      <c r="H240" s="183"/>
      <c r="I240" s="185"/>
      <c r="L240" t="str">
        <f t="shared" ca="1" si="39"/>
        <v>b</v>
      </c>
      <c r="M240" t="str">
        <f>")"&amp;REPT(" ",2-K241)&amp;IF(K241=0," ","")</f>
        <v xml:space="preserve">)   </v>
      </c>
      <c r="O240" s="194"/>
      <c r="P240" s="207">
        <f>D240</f>
        <v>0</v>
      </c>
      <c r="Q240" s="207">
        <f t="shared" si="40"/>
        <v>0</v>
      </c>
      <c r="R240" s="300" t="str">
        <f t="shared" ca="1" si="41"/>
        <v/>
      </c>
      <c r="S240" s="304"/>
      <c r="T240" s="369"/>
      <c r="U240" s="206">
        <f ca="1">IF(OR(AC$8=0,SUM(Z241:AC241)=0),1,IF(L240="l","",SUM(AB241:AC241)))</f>
        <v>1</v>
      </c>
      <c r="V240" s="387"/>
      <c r="W240" s="50"/>
      <c r="Z240"/>
    </row>
    <row r="241" spans="3:29" ht="15" customHeight="1" x14ac:dyDescent="0.15">
      <c r="C241" s="186"/>
      <c r="D241" s="205"/>
      <c r="E241" s="188"/>
      <c r="F241" s="226"/>
      <c r="G241" s="296" t="str">
        <f ca="1">IF(L241="b","",IF(L241="l",0,FIXED(F241,K241,0)&amp;M241))</f>
        <v/>
      </c>
      <c r="H241" s="187"/>
      <c r="I241" s="189"/>
      <c r="K241" s="215"/>
      <c r="L241" t="str">
        <f t="shared" ca="1" si="39"/>
        <v>b</v>
      </c>
      <c r="M241" t="str">
        <f>REPT(" ",3-K241)&amp;IF(K241=0," ","")</f>
        <v xml:space="preserve">    </v>
      </c>
      <c r="O241" s="194"/>
      <c r="P241" s="208">
        <f>IF(ISNUMBER(D241),LOOKUP(D241,$AB$5:$AC$7),D241)</f>
        <v>0</v>
      </c>
      <c r="Q241" s="208">
        <f t="shared" si="40"/>
        <v>0</v>
      </c>
      <c r="R241" s="301" t="str">
        <f t="shared" ca="1" si="41"/>
        <v/>
      </c>
      <c r="S241" s="305">
        <f>H241</f>
        <v>0</v>
      </c>
      <c r="T241" s="370"/>
      <c r="U241" s="216">
        <f ca="1">IF(L241="l","",IF(D241+F241&gt;0,SUM(Z241:AA241),-1))</f>
        <v>-1</v>
      </c>
      <c r="V241" s="388"/>
      <c r="W241" s="107"/>
      <c r="Z241" s="114">
        <f>IF(D241&gt;0,0,TRUNC(F241*T241+Y241*X241))</f>
        <v>0</v>
      </c>
      <c r="AA241" t="b">
        <f>IF($D241=1,SUM(Z$13:Z239)-SUM(AA$13:AA239),IF($D241=2,$AA$6,IF($D241=3,TRUNC($AA$6,-3))))</f>
        <v>0</v>
      </c>
      <c r="AB241">
        <f ca="1">IF(OR(AC$8=0,L240="l",D241&gt;0,U241=-1),0,IF(L240="b",-U241,TRUNC(F240*T241)))</f>
        <v>0</v>
      </c>
      <c r="AC241" t="b">
        <f>IF($D241=1,SUM(AB$13:AB239)-SUM(AC$13:AC239),IF($D241=2,$AA$5,IF($D241=3,TRUNC($AA$5,-3))))</f>
        <v>0</v>
      </c>
    </row>
    <row r="242" spans="3:29" ht="15" customHeight="1" x14ac:dyDescent="0.15">
      <c r="C242" s="182"/>
      <c r="D242" s="210"/>
      <c r="E242" s="184"/>
      <c r="F242" s="227"/>
      <c r="G242" s="297" t="str">
        <f ca="1">IF(OR(AC$8=0,L242="b"),"",IF(L242="l",0,"("&amp;FIXED(-F242,K243,0)&amp;M242))</f>
        <v/>
      </c>
      <c r="H242" s="183"/>
      <c r="I242" s="185"/>
      <c r="L242" t="str">
        <f t="shared" ca="1" si="39"/>
        <v>b</v>
      </c>
      <c r="M242" t="str">
        <f>")"&amp;REPT(" ",2-K243)&amp;IF(K243=0," ","")</f>
        <v xml:space="preserve">)   </v>
      </c>
      <c r="O242" s="194"/>
      <c r="P242" s="207">
        <f>D242</f>
        <v>0</v>
      </c>
      <c r="Q242" s="207">
        <f t="shared" si="40"/>
        <v>0</v>
      </c>
      <c r="R242" s="300" t="str">
        <f t="shared" ca="1" si="41"/>
        <v/>
      </c>
      <c r="S242" s="304"/>
      <c r="T242" s="369"/>
      <c r="U242" s="206">
        <f ca="1">IF(OR(AC$8=0,SUM(Z243:AC243)=0),1,IF(L242="l","",SUM(AB243:AC243)))</f>
        <v>1</v>
      </c>
      <c r="V242" s="387"/>
      <c r="W242" s="50"/>
      <c r="Z242"/>
    </row>
    <row r="243" spans="3:29" ht="15" customHeight="1" x14ac:dyDescent="0.15">
      <c r="C243" s="186"/>
      <c r="D243" s="205"/>
      <c r="E243" s="188"/>
      <c r="F243" s="226"/>
      <c r="G243" s="296" t="str">
        <f ca="1">IF(L243="b","",IF(L243="l",0,FIXED(F243,K243,0)&amp;M243))</f>
        <v/>
      </c>
      <c r="H243" s="187"/>
      <c r="I243" s="189"/>
      <c r="K243" s="215"/>
      <c r="L243" t="str">
        <f t="shared" ca="1" si="39"/>
        <v>b</v>
      </c>
      <c r="M243" t="str">
        <f>REPT(" ",3-K243)&amp;IF(K243=0," ","")</f>
        <v xml:space="preserve">    </v>
      </c>
      <c r="O243" s="194"/>
      <c r="P243" s="208">
        <f>IF(ISNUMBER(D243),LOOKUP(D243,$AB$5:$AC$7),D243)</f>
        <v>0</v>
      </c>
      <c r="Q243" s="208">
        <f t="shared" si="40"/>
        <v>0</v>
      </c>
      <c r="R243" s="301" t="str">
        <f t="shared" ca="1" si="41"/>
        <v/>
      </c>
      <c r="S243" s="305">
        <f>H243</f>
        <v>0</v>
      </c>
      <c r="T243" s="370"/>
      <c r="U243" s="216">
        <f ca="1">IF(L243="l","",IF(D243+F243&gt;0,SUM(Z243:AA243),-1))</f>
        <v>-1</v>
      </c>
      <c r="V243" s="388"/>
      <c r="W243" s="107"/>
      <c r="Z243" s="114">
        <f>IF(D243&gt;0,0,TRUNC(F243*T243+Y243*X243))</f>
        <v>0</v>
      </c>
      <c r="AA243" t="b">
        <f>IF($D243=1,SUM(Z$13:Z241)-SUM(AA$13:AA241),IF($D243=2,$AA$6,IF($D243=3,TRUNC($AA$6,-3))))</f>
        <v>0</v>
      </c>
      <c r="AB243">
        <f ca="1">IF(OR(AC$8=0,L242="l",D243&gt;0,U243=-1),0,IF(L242="b",-U243,TRUNC(F242*T243)))</f>
        <v>0</v>
      </c>
      <c r="AC243" t="b">
        <f>IF($D243=1,SUM(AB$13:AB241)-SUM(AC$13:AC241),IF($D243=2,$AA$5,IF($D243=3,TRUNC($AA$5,-3))))</f>
        <v>0</v>
      </c>
    </row>
    <row r="244" spans="3:29" ht="15" customHeight="1" x14ac:dyDescent="0.15">
      <c r="C244" s="182"/>
      <c r="D244" s="210"/>
      <c r="E244" s="184"/>
      <c r="F244" s="227"/>
      <c r="G244" s="297" t="str">
        <f ca="1">IF(OR(AC$8=0,L244="b"),"",IF(L244="l",0,"("&amp;FIXED(-F244,K245,0)&amp;M244))</f>
        <v/>
      </c>
      <c r="H244" s="183"/>
      <c r="I244" s="185"/>
      <c r="L244" t="str">
        <f t="shared" ca="1" si="39"/>
        <v>b</v>
      </c>
      <c r="M244" t="str">
        <f>")"&amp;REPT(" ",2-K245)&amp;IF(K245=0," ","")</f>
        <v xml:space="preserve">)   </v>
      </c>
      <c r="O244" s="194"/>
      <c r="P244" s="207">
        <f>D244</f>
        <v>0</v>
      </c>
      <c r="Q244" s="207">
        <f t="shared" si="40"/>
        <v>0</v>
      </c>
      <c r="R244" s="300" t="str">
        <f t="shared" ca="1" si="41"/>
        <v/>
      </c>
      <c r="S244" s="304"/>
      <c r="T244" s="369"/>
      <c r="U244" s="206">
        <f ca="1">IF(OR(AC$8=0,SUM(Z245:AC245)=0),1,IF(L244="l","",SUM(AB245:AC245)))</f>
        <v>1</v>
      </c>
      <c r="V244" s="387"/>
      <c r="W244" s="50"/>
      <c r="Z244"/>
    </row>
    <row r="245" spans="3:29" ht="15" customHeight="1" x14ac:dyDescent="0.15">
      <c r="C245" s="186"/>
      <c r="D245" s="205"/>
      <c r="E245" s="188"/>
      <c r="F245" s="226"/>
      <c r="G245" s="296" t="str">
        <f ca="1">IF(L245="b","",IF(L245="l",0,FIXED(F245,K245,0)&amp;M245))</f>
        <v/>
      </c>
      <c r="H245" s="187"/>
      <c r="I245" s="189"/>
      <c r="K245" s="215"/>
      <c r="L245" t="str">
        <f t="shared" ca="1" si="39"/>
        <v>b</v>
      </c>
      <c r="M245" t="str">
        <f>REPT(" ",3-K245)&amp;IF(K245=0," ","")</f>
        <v xml:space="preserve">    </v>
      </c>
      <c r="O245" s="194"/>
      <c r="P245" s="208">
        <f>IF(ISNUMBER(D245),LOOKUP(D245,$AB$5:$AC$7),D245)</f>
        <v>0</v>
      </c>
      <c r="Q245" s="208">
        <f t="shared" si="40"/>
        <v>0</v>
      </c>
      <c r="R245" s="301" t="str">
        <f t="shared" ca="1" si="41"/>
        <v/>
      </c>
      <c r="S245" s="305">
        <f>H245</f>
        <v>0</v>
      </c>
      <c r="T245" s="370"/>
      <c r="U245" s="216">
        <f ca="1">IF(L245="l","",IF(D245+F245&gt;0,SUM(Z245:AA245),-1))</f>
        <v>-1</v>
      </c>
      <c r="V245" s="454"/>
      <c r="W245" s="107"/>
      <c r="Z245" s="114">
        <f>IF(D245&gt;0,0,TRUNC(F245*T245+Y245*X245))</f>
        <v>0</v>
      </c>
      <c r="AA245" t="b">
        <f>IF($D245=1,SUM(Z$13:Z243)-SUM(AA$13:AA243),IF($D245=2,$AA$6,IF($D245=3,TRUNC($AA$6,-3))))</f>
        <v>0</v>
      </c>
      <c r="AB245">
        <f ca="1">IF(OR(AC$8=0,L244="l",D245&gt;0,U245=-1),0,IF(L244="b",-U245,TRUNC(F244*T245)))</f>
        <v>0</v>
      </c>
      <c r="AC245" t="b">
        <f>IF($D245=1,SUM(AB$13:AB243)-SUM(AC$13:AC243),IF($D245=2,$AA$5,IF($D245=3,TRUNC($AA$5,-3))))</f>
        <v>0</v>
      </c>
    </row>
    <row r="246" spans="3:29" ht="15" customHeight="1" x14ac:dyDescent="0.15">
      <c r="C246" s="182"/>
      <c r="D246" s="210"/>
      <c r="E246" s="184"/>
      <c r="F246" s="227"/>
      <c r="G246" s="297" t="str">
        <f ca="1">IF(OR(AC$8=0,L246="b"),"",IF(L246="l",0,"("&amp;FIXED(-F246,K247,0)&amp;M246))</f>
        <v/>
      </c>
      <c r="H246" s="183"/>
      <c r="I246" s="185"/>
      <c r="L246" t="str">
        <f t="shared" ca="1" si="39"/>
        <v>b</v>
      </c>
      <c r="M246" t="str">
        <f>")"&amp;REPT(" ",2-K247)&amp;IF(K247=0," ","")</f>
        <v xml:space="preserve">)   </v>
      </c>
      <c r="O246" s="194"/>
      <c r="P246" s="207">
        <f>D246</f>
        <v>0</v>
      </c>
      <c r="Q246" s="207">
        <f t="shared" si="40"/>
        <v>0</v>
      </c>
      <c r="R246" s="300" t="str">
        <f t="shared" ca="1" si="41"/>
        <v/>
      </c>
      <c r="S246" s="304"/>
      <c r="T246" s="369"/>
      <c r="U246" s="206">
        <f ca="1">IF(OR(AC$8=0,SUM(Z247:AC247)=0),1,IF(L246="l","",SUM(AB247:AC247)))</f>
        <v>1</v>
      </c>
      <c r="V246" s="387"/>
      <c r="W246" s="50"/>
      <c r="Z246"/>
    </row>
    <row r="247" spans="3:29" ht="15" customHeight="1" x14ac:dyDescent="0.15">
      <c r="C247" s="186"/>
      <c r="D247" s="205"/>
      <c r="E247" s="188"/>
      <c r="F247" s="226"/>
      <c r="G247" s="296" t="str">
        <f ca="1">IF(L247="b","",IF(L247="l",0,FIXED(F247,K247,0)&amp;M247))</f>
        <v/>
      </c>
      <c r="H247" s="187"/>
      <c r="I247" s="189"/>
      <c r="K247" s="215"/>
      <c r="L247" t="str">
        <f t="shared" ca="1" si="39"/>
        <v>b</v>
      </c>
      <c r="M247" t="str">
        <f>REPT(" ",3-K247)&amp;IF(K247=0," ","")</f>
        <v xml:space="preserve">    </v>
      </c>
      <c r="O247" s="194"/>
      <c r="P247" s="208">
        <f>IF(ISNUMBER(D247),LOOKUP(D247,$AB$5:$AC$7),D247)</f>
        <v>0</v>
      </c>
      <c r="Q247" s="208">
        <f t="shared" si="40"/>
        <v>0</v>
      </c>
      <c r="R247" s="301" t="str">
        <f t="shared" ca="1" si="41"/>
        <v/>
      </c>
      <c r="S247" s="305">
        <f>H247</f>
        <v>0</v>
      </c>
      <c r="T247" s="370"/>
      <c r="U247" s="216">
        <f ca="1">IF(L247="l","",IF(D247+F247&gt;0,SUM(Z247:AA247),-1))</f>
        <v>-1</v>
      </c>
      <c r="V247" s="454"/>
      <c r="W247" s="107"/>
      <c r="Z247" s="114">
        <f>IF(D247&gt;0,0,TRUNC(F247*T247+Y247*X247))</f>
        <v>0</v>
      </c>
      <c r="AA247" t="b">
        <f>IF($D247=1,SUM(Z$13:Z245)-SUM(AA$13:AA245),IF($D247=2,$AA$6,IF($D247=3,TRUNC($AA$6,-3))))</f>
        <v>0</v>
      </c>
      <c r="AB247">
        <f ca="1">IF(OR(AC$8=0,L246="l",D247&gt;0,U247=-1),0,IF(L246="b",-U247,TRUNC(F246*T247)))</f>
        <v>0</v>
      </c>
      <c r="AC247" t="b">
        <f>IF($D247=1,SUM(AB$13:AB245)-SUM(AC$13:AC245),IF($D247=2,$AA$5,IF($D247=3,TRUNC($AA$5,-3))))</f>
        <v>0</v>
      </c>
    </row>
    <row r="248" spans="3:29" ht="15" customHeight="1" x14ac:dyDescent="0.15">
      <c r="C248" s="182"/>
      <c r="D248" s="210"/>
      <c r="E248" s="184"/>
      <c r="F248" s="227"/>
      <c r="G248" s="297" t="str">
        <f ca="1">IF(OR(AC$8=0,L248="b"),"",IF(L248="l",0,"("&amp;FIXED(-F248,K249,0)&amp;M248))</f>
        <v/>
      </c>
      <c r="H248" s="183"/>
      <c r="I248" s="185"/>
      <c r="L248" t="str">
        <f t="shared" ca="1" si="39"/>
        <v>b</v>
      </c>
      <c r="M248" t="str">
        <f>")"&amp;REPT(" ",2-K249)&amp;IF(K249=0," ","")</f>
        <v xml:space="preserve">)   </v>
      </c>
      <c r="O248" s="194"/>
      <c r="P248" s="207">
        <f>D248</f>
        <v>0</v>
      </c>
      <c r="Q248" s="207">
        <f t="shared" si="40"/>
        <v>0</v>
      </c>
      <c r="R248" s="300" t="str">
        <f t="shared" ca="1" si="41"/>
        <v/>
      </c>
      <c r="S248" s="304"/>
      <c r="T248" s="369"/>
      <c r="U248" s="206">
        <f ca="1">IF(OR(AC$8=0,SUM(Z249:AC249)=0),1,IF(L248="l","",SUM(AB249:AC249)))</f>
        <v>1</v>
      </c>
      <c r="V248" s="387"/>
      <c r="W248" s="50"/>
      <c r="Z248"/>
    </row>
    <row r="249" spans="3:29" ht="15" customHeight="1" x14ac:dyDescent="0.15">
      <c r="C249" s="186"/>
      <c r="D249" s="205"/>
      <c r="E249" s="188"/>
      <c r="F249" s="226"/>
      <c r="G249" s="296" t="str">
        <f ca="1">IF(L249="b","",IF(L249="l",0,FIXED(F249,K249,0)&amp;M249))</f>
        <v/>
      </c>
      <c r="H249" s="187"/>
      <c r="I249" s="189"/>
      <c r="K249" s="215"/>
      <c r="L249" t="str">
        <f t="shared" ca="1" si="39"/>
        <v>b</v>
      </c>
      <c r="M249" t="str">
        <f>REPT(" ",3-K249)&amp;IF(K249=0," ","")</f>
        <v xml:space="preserve">    </v>
      </c>
      <c r="O249" s="194"/>
      <c r="P249" s="208">
        <f>IF(ISNUMBER(D249),LOOKUP(D249,$AB$5:$AC$7),D249)</f>
        <v>0</v>
      </c>
      <c r="Q249" s="208">
        <f t="shared" si="40"/>
        <v>0</v>
      </c>
      <c r="R249" s="301" t="str">
        <f t="shared" ca="1" si="41"/>
        <v/>
      </c>
      <c r="S249" s="305">
        <f>H249</f>
        <v>0</v>
      </c>
      <c r="T249" s="370"/>
      <c r="U249" s="216">
        <f ca="1">IF(L249="l","",IF(D249+F249&gt;0,SUM(Z249:AA249),-1))</f>
        <v>-1</v>
      </c>
      <c r="V249" s="454"/>
      <c r="W249" s="107"/>
      <c r="Z249" s="114">
        <f>IF(D249&gt;0,0,TRUNC(F249*T249+Y249*X249))</f>
        <v>0</v>
      </c>
      <c r="AA249" t="b">
        <f>IF($D249=1,SUM(Z$13:Z247)-SUM(AA$13:AA247),IF($D249=2,$AA$6,IF($D249=3,TRUNC($AA$6,-3))))</f>
        <v>0</v>
      </c>
      <c r="AB249">
        <f ca="1">IF(OR(AC$8=0,L248="l",D249&gt;0,U249=-1),0,IF(L248="b",-U249,TRUNC(F248*T249)))</f>
        <v>0</v>
      </c>
      <c r="AC249" t="b">
        <f>IF($D249=1,SUM(AB$13:AB247)-SUM(AC$13:AC247),IF($D249=2,$AA$5,IF($D249=3,TRUNC($AA$5,-3))))</f>
        <v>0</v>
      </c>
    </row>
    <row r="250" spans="3:29" ht="15" customHeight="1" x14ac:dyDescent="0.15">
      <c r="C250" s="182"/>
      <c r="D250" s="210"/>
      <c r="E250" s="184"/>
      <c r="F250" s="227"/>
      <c r="G250" s="297" t="str">
        <f ca="1">IF(OR(AC$8=0,L250="b"),"",IF(L250="l",0,"("&amp;FIXED(-F250,K251,0)&amp;M250))</f>
        <v/>
      </c>
      <c r="H250" s="183"/>
      <c r="I250" s="185"/>
      <c r="L250" t="str">
        <f t="shared" ca="1" si="39"/>
        <v>b</v>
      </c>
      <c r="M250" t="str">
        <f>")"&amp;REPT(" ",2-K251)&amp;IF(K251=0," ","")</f>
        <v xml:space="preserve">)   </v>
      </c>
      <c r="O250" s="194"/>
      <c r="P250" s="207">
        <f>D250</f>
        <v>0</v>
      </c>
      <c r="Q250" s="207">
        <f t="shared" si="40"/>
        <v>0</v>
      </c>
      <c r="R250" s="300" t="str">
        <f t="shared" ca="1" si="41"/>
        <v/>
      </c>
      <c r="S250" s="304"/>
      <c r="T250" s="369"/>
      <c r="U250" s="206">
        <f ca="1">IF(OR(AC$8=0,SUM(Z251:AC251)=0),1,IF(L250="l","",SUM(AB251:AC251)))</f>
        <v>1</v>
      </c>
      <c r="V250" s="387"/>
      <c r="W250" s="50"/>
      <c r="Z250"/>
    </row>
    <row r="251" spans="3:29" ht="15" customHeight="1" x14ac:dyDescent="0.15">
      <c r="C251" s="186"/>
      <c r="D251" s="205"/>
      <c r="E251" s="188"/>
      <c r="F251" s="226"/>
      <c r="G251" s="296" t="str">
        <f ca="1">IF(L251="b","",IF(L251="l",0,FIXED(F251,K251,0)&amp;M251))</f>
        <v/>
      </c>
      <c r="H251" s="187"/>
      <c r="I251" s="189"/>
      <c r="K251" s="215"/>
      <c r="L251" t="str">
        <f t="shared" ca="1" si="39"/>
        <v>b</v>
      </c>
      <c r="M251" t="str">
        <f>REPT(" ",3-K251)&amp;IF(K251=0," ","")</f>
        <v xml:space="preserve">    </v>
      </c>
      <c r="O251" s="194"/>
      <c r="P251" s="208">
        <f>IF(ISNUMBER(D251),LOOKUP(D251,$AB$5:$AC$7),D251)</f>
        <v>0</v>
      </c>
      <c r="Q251" s="208">
        <f t="shared" si="40"/>
        <v>0</v>
      </c>
      <c r="R251" s="301" t="str">
        <f t="shared" ca="1" si="41"/>
        <v/>
      </c>
      <c r="S251" s="305">
        <f>H251</f>
        <v>0</v>
      </c>
      <c r="T251" s="370"/>
      <c r="U251" s="216">
        <f ca="1">IF(L251="l","",IF(D251+F251&gt;0,SUM(Z251:AA251),-1))</f>
        <v>-1</v>
      </c>
      <c r="V251" s="454"/>
      <c r="W251" s="107"/>
      <c r="Z251" s="114">
        <f>IF(D251&gt;0,0,TRUNC(F251*T251+Y251*X251))</f>
        <v>0</v>
      </c>
      <c r="AA251" t="b">
        <f>IF($D251=1,SUM(Z$13:Z249)-SUM(AA$13:AA249),IF($D251=2,$AA$6,IF($D251=3,TRUNC($AA$6,-3))))</f>
        <v>0</v>
      </c>
      <c r="AB251">
        <f ca="1">IF(OR(AC$8=0,L250="l",D251&gt;0,U251=-1),0,IF(L250="b",-U251,TRUNC(F250*T251)))</f>
        <v>0</v>
      </c>
      <c r="AC251" t="b">
        <f>IF($D251=1,SUM(AB$13:AB249)-SUM(AC$13:AC249),IF($D251=2,$AA$5,IF($D251=3,TRUNC($AA$5,-3))))</f>
        <v>0</v>
      </c>
    </row>
    <row r="252" spans="3:29" ht="15" customHeight="1" x14ac:dyDescent="0.15">
      <c r="C252" s="182"/>
      <c r="D252" s="210"/>
      <c r="E252" s="184"/>
      <c r="F252" s="227"/>
      <c r="G252" s="297" t="str">
        <f ca="1">IF(OR(AC$8=0,L252="b"),"",IF(L252="l",0,"("&amp;FIXED(-F252,K253,0)&amp;M252))</f>
        <v/>
      </c>
      <c r="H252" s="183"/>
      <c r="I252" s="185"/>
      <c r="L252" t="str">
        <f t="shared" ref="L252:L281" ca="1" si="42">CELL("type",F252)</f>
        <v>b</v>
      </c>
      <c r="M252" t="str">
        <f>")"&amp;REPT(" ",2-K253)&amp;IF(K253=0," ","")</f>
        <v xml:space="preserve">)   </v>
      </c>
      <c r="O252" s="194"/>
      <c r="P252" s="207">
        <f>D252</f>
        <v>0</v>
      </c>
      <c r="Q252" s="207">
        <f t="shared" ref="Q252:Q283" si="43">E252</f>
        <v>0</v>
      </c>
      <c r="R252" s="300" t="str">
        <f t="shared" ref="R252:R281" ca="1" si="44">G252</f>
        <v/>
      </c>
      <c r="S252" s="304"/>
      <c r="T252" s="369"/>
      <c r="U252" s="206">
        <f ca="1">IF(OR(AC$8=0,SUM(Z253:AC253)=0),1,IF(L252="l","",SUM(AB253:AC253)))</f>
        <v>1</v>
      </c>
      <c r="V252" s="387"/>
      <c r="W252" s="50"/>
      <c r="Z252"/>
    </row>
    <row r="253" spans="3:29" ht="15" customHeight="1" x14ac:dyDescent="0.15">
      <c r="C253" s="186"/>
      <c r="D253" s="205"/>
      <c r="E253" s="188"/>
      <c r="F253" s="226"/>
      <c r="G253" s="296" t="str">
        <f ca="1">IF(L253="b","",IF(L253="l",0,FIXED(F253,K253,0)&amp;M253))</f>
        <v/>
      </c>
      <c r="H253" s="187"/>
      <c r="I253" s="189"/>
      <c r="K253" s="215"/>
      <c r="L253" t="str">
        <f t="shared" ca="1" si="42"/>
        <v>b</v>
      </c>
      <c r="M253" t="str">
        <f>REPT(" ",3-K253)&amp;IF(K253=0," ","")</f>
        <v xml:space="preserve">    </v>
      </c>
      <c r="O253" s="194"/>
      <c r="P253" s="208">
        <f>IF(ISNUMBER(D253),LOOKUP(D253,$AB$5:$AC$7),D253)</f>
        <v>0</v>
      </c>
      <c r="Q253" s="208">
        <f t="shared" si="43"/>
        <v>0</v>
      </c>
      <c r="R253" s="301" t="str">
        <f t="shared" ca="1" si="44"/>
        <v/>
      </c>
      <c r="S253" s="305">
        <f>H253</f>
        <v>0</v>
      </c>
      <c r="T253" s="370"/>
      <c r="U253" s="216">
        <f ca="1">IF(L253="l","",IF(D253+F253&gt;0,SUM(Z253:AA253),-1))</f>
        <v>-1</v>
      </c>
      <c r="V253" s="388"/>
      <c r="W253" s="107"/>
      <c r="Z253" s="114">
        <f>IF(D253&gt;0,0,TRUNC(F253*T253+Y253*X253))</f>
        <v>0</v>
      </c>
      <c r="AA253" t="b">
        <f>IF($D253=1,SUM(Z$13:Z251)-SUM(AA$13:AA251),IF($D253=2,$AA$6,IF($D253=3,TRUNC($AA$6,-3))))</f>
        <v>0</v>
      </c>
      <c r="AB253">
        <f ca="1">IF(OR(AC$8=0,L252="l",D253&gt;0,U253=-1),0,IF(L252="b",-U253,TRUNC(F252*T253)))</f>
        <v>0</v>
      </c>
      <c r="AC253" t="b">
        <f>IF($D253=1,SUM(AB$13:AB251)-SUM(AC$13:AC251),IF($D253=2,$AA$5,IF($D253=3,TRUNC($AA$5,-3))))</f>
        <v>0</v>
      </c>
    </row>
    <row r="254" spans="3:29" ht="15" customHeight="1" x14ac:dyDescent="0.15">
      <c r="C254" s="182"/>
      <c r="D254" s="210"/>
      <c r="E254" s="184"/>
      <c r="F254" s="227"/>
      <c r="G254" s="297" t="str">
        <f ca="1">IF(OR(AC$8=0,L254="b"),"",IF(L254="l",0,"("&amp;FIXED(-F254,K255,0)&amp;M254))</f>
        <v/>
      </c>
      <c r="H254" s="183"/>
      <c r="I254" s="185"/>
      <c r="L254" t="str">
        <f t="shared" ca="1" si="42"/>
        <v>b</v>
      </c>
      <c r="M254" t="str">
        <f>")"&amp;REPT(" ",2-K255)&amp;IF(K255=0," ","")</f>
        <v xml:space="preserve">)   </v>
      </c>
      <c r="O254" s="194"/>
      <c r="P254" s="207">
        <f>D254</f>
        <v>0</v>
      </c>
      <c r="Q254" s="207">
        <f t="shared" si="43"/>
        <v>0</v>
      </c>
      <c r="R254" s="300" t="str">
        <f t="shared" ca="1" si="44"/>
        <v/>
      </c>
      <c r="S254" s="304"/>
      <c r="T254" s="369"/>
      <c r="U254" s="206">
        <f ca="1">IF(OR(AC$8=0,SUM(Z255:AC255)=0),1,IF(L254="l","",SUM(AB255:AC255)))</f>
        <v>1</v>
      </c>
      <c r="V254" s="387"/>
      <c r="W254" s="50"/>
      <c r="Z254"/>
    </row>
    <row r="255" spans="3:29" ht="15" customHeight="1" x14ac:dyDescent="0.15">
      <c r="C255" s="186"/>
      <c r="D255" s="205"/>
      <c r="E255" s="188"/>
      <c r="F255" s="226"/>
      <c r="G255" s="296" t="str">
        <f ca="1">IF(L255="b","",IF(L255="l",0,FIXED(F255,K255,0)&amp;M255))</f>
        <v/>
      </c>
      <c r="H255" s="187"/>
      <c r="I255" s="189"/>
      <c r="K255" s="215"/>
      <c r="L255" t="str">
        <f t="shared" ca="1" si="42"/>
        <v>b</v>
      </c>
      <c r="M255" t="str">
        <f>REPT(" ",3-K255)&amp;IF(K255=0," ","")</f>
        <v xml:space="preserve">    </v>
      </c>
      <c r="O255" s="194"/>
      <c r="P255" s="208">
        <f>IF(ISNUMBER(D255),LOOKUP(D255,$AB$5:$AC$7),D255)</f>
        <v>0</v>
      </c>
      <c r="Q255" s="208">
        <f t="shared" si="43"/>
        <v>0</v>
      </c>
      <c r="R255" s="301" t="str">
        <f t="shared" ca="1" si="44"/>
        <v/>
      </c>
      <c r="S255" s="305">
        <f>H255</f>
        <v>0</v>
      </c>
      <c r="T255" s="370"/>
      <c r="U255" s="216">
        <f ca="1">IF(L255="l","",IF(D255+F255&gt;0,SUM(Z255:AA255),-1))</f>
        <v>-1</v>
      </c>
      <c r="V255" s="388"/>
      <c r="W255" s="107"/>
      <c r="Z255" s="114">
        <f>IF(D255&gt;0,0,TRUNC(F255*T255+Y255*X255))</f>
        <v>0</v>
      </c>
      <c r="AA255" t="b">
        <f>IF($D255=1,SUM(Z$13:Z253)-SUM(AA$13:AA253),IF($D255=2,$AA$6,IF($D255=3,TRUNC($AA$6,-3))))</f>
        <v>0</v>
      </c>
      <c r="AB255">
        <f ca="1">IF(OR(AC$8=0,L254="l",D255&gt;0,U255=-1),0,IF(L254="b",-U255,TRUNC(F254*T255)))</f>
        <v>0</v>
      </c>
      <c r="AC255" t="b">
        <f>IF($D255=1,SUM(AB$13:AB253)-SUM(AC$13:AC253),IF($D255=2,$AA$5,IF($D255=3,TRUNC($AA$5,-3))))</f>
        <v>0</v>
      </c>
    </row>
    <row r="256" spans="3:29" ht="15" customHeight="1" x14ac:dyDescent="0.15">
      <c r="C256" s="182"/>
      <c r="D256" s="210"/>
      <c r="E256" s="184"/>
      <c r="F256" s="227"/>
      <c r="G256" s="297" t="str">
        <f ca="1">IF(OR(AC$8=0,L256="b"),"",IF(L256="l",0,"("&amp;FIXED(-F256,K257,0)&amp;M256))</f>
        <v/>
      </c>
      <c r="H256" s="183"/>
      <c r="I256" s="185"/>
      <c r="L256" t="str">
        <f t="shared" ca="1" si="42"/>
        <v>b</v>
      </c>
      <c r="M256" t="str">
        <f>")"&amp;REPT(" ",2-K257)&amp;IF(K257=0," ","")</f>
        <v xml:space="preserve">)   </v>
      </c>
      <c r="O256" s="194"/>
      <c r="P256" s="207">
        <f>D256</f>
        <v>0</v>
      </c>
      <c r="Q256" s="207">
        <f t="shared" si="43"/>
        <v>0</v>
      </c>
      <c r="R256" s="300" t="str">
        <f t="shared" ca="1" si="44"/>
        <v/>
      </c>
      <c r="S256" s="304"/>
      <c r="T256" s="369"/>
      <c r="U256" s="206">
        <f ca="1">IF(OR(AC$8=0,SUM(Z257:AC257)=0),1,IF(L256="l","",SUM(AB257:AC257)))</f>
        <v>1</v>
      </c>
      <c r="V256" s="387"/>
      <c r="W256" s="50"/>
      <c r="Z256"/>
    </row>
    <row r="257" spans="3:29" ht="15" customHeight="1" x14ac:dyDescent="0.15">
      <c r="C257" s="186"/>
      <c r="D257" s="205"/>
      <c r="E257" s="188"/>
      <c r="F257" s="226"/>
      <c r="G257" s="296" t="str">
        <f ca="1">IF(L257="b","",IF(L257="l",0,FIXED(F257,K257,0)&amp;M257))</f>
        <v/>
      </c>
      <c r="H257" s="187"/>
      <c r="I257" s="189"/>
      <c r="K257" s="215"/>
      <c r="L257" t="str">
        <f t="shared" ca="1" si="42"/>
        <v>b</v>
      </c>
      <c r="M257" t="str">
        <f>REPT(" ",3-K257)&amp;IF(K257=0," ","")</f>
        <v xml:space="preserve">    </v>
      </c>
      <c r="O257" s="194"/>
      <c r="P257" s="208">
        <f>IF(ISNUMBER(D257),LOOKUP(D257,$AB$5:$AC$7),D257)</f>
        <v>0</v>
      </c>
      <c r="Q257" s="208">
        <f t="shared" si="43"/>
        <v>0</v>
      </c>
      <c r="R257" s="301" t="str">
        <f t="shared" ca="1" si="44"/>
        <v/>
      </c>
      <c r="S257" s="305">
        <f>H257</f>
        <v>0</v>
      </c>
      <c r="T257" s="370"/>
      <c r="U257" s="216">
        <f ca="1">IF(L257="l","",IF(D257+F257&gt;0,SUM(Z257:AA257),-1))</f>
        <v>-1</v>
      </c>
      <c r="V257" s="388"/>
      <c r="W257" s="107"/>
      <c r="Z257" s="114">
        <f>IF(D257&gt;0,0,TRUNC(F257*T257+Y257*X257))</f>
        <v>0</v>
      </c>
      <c r="AA257" t="b">
        <f>IF($D257=1,SUM(Z$13:Z255)-SUM(AA$13:AA255),IF($D257=2,$AA$6,IF($D257=3,TRUNC($AA$6,-3))))</f>
        <v>0</v>
      </c>
      <c r="AB257">
        <f ca="1">IF(OR(AC$8=0,L256="l",D257&gt;0,U257=-1),0,IF(L256="b",-U257,TRUNC(F256*T257)))</f>
        <v>0</v>
      </c>
      <c r="AC257" t="b">
        <f>IF($D257=1,SUM(AB$13:AB255)-SUM(AC$13:AC255),IF($D257=2,$AA$5,IF($D257=3,TRUNC($AA$5,-3))))</f>
        <v>0</v>
      </c>
    </row>
    <row r="258" spans="3:29" ht="15" customHeight="1" x14ac:dyDescent="0.15">
      <c r="C258" s="182"/>
      <c r="D258" s="210"/>
      <c r="E258" s="184"/>
      <c r="F258" s="227"/>
      <c r="G258" s="297" t="str">
        <f ca="1">IF(OR(AC$8=0,L258="b"),"",IF(L258="l",0,"("&amp;FIXED(-F258,K259,0)&amp;M258))</f>
        <v/>
      </c>
      <c r="H258" s="183"/>
      <c r="I258" s="185"/>
      <c r="L258" t="str">
        <f t="shared" ca="1" si="42"/>
        <v>b</v>
      </c>
      <c r="M258" t="str">
        <f>")"&amp;REPT(" ",2-K259)&amp;IF(K259=0," ","")</f>
        <v xml:space="preserve">)   </v>
      </c>
      <c r="O258" s="194"/>
      <c r="P258" s="207">
        <f>D258</f>
        <v>0</v>
      </c>
      <c r="Q258" s="207">
        <f t="shared" si="43"/>
        <v>0</v>
      </c>
      <c r="R258" s="300" t="str">
        <f t="shared" ca="1" si="44"/>
        <v/>
      </c>
      <c r="S258" s="304"/>
      <c r="T258" s="369"/>
      <c r="U258" s="206">
        <f ca="1">IF(OR(AC$8=0,SUM(Z259:AC259)=0),1,IF(L258="l","",SUM(AB259:AC259)))</f>
        <v>1</v>
      </c>
      <c r="V258" s="387"/>
      <c r="W258" s="50"/>
      <c r="Z258"/>
    </row>
    <row r="259" spans="3:29" ht="15" customHeight="1" x14ac:dyDescent="0.15">
      <c r="C259" s="186"/>
      <c r="D259" s="205"/>
      <c r="E259" s="188"/>
      <c r="F259" s="226"/>
      <c r="G259" s="296" t="str">
        <f ca="1">IF(L259="b","",IF(L259="l",0,FIXED(F259,K259,0)&amp;M259))</f>
        <v/>
      </c>
      <c r="H259" s="187"/>
      <c r="I259" s="189"/>
      <c r="K259" s="215"/>
      <c r="L259" t="str">
        <f t="shared" ca="1" si="42"/>
        <v>b</v>
      </c>
      <c r="M259" t="str">
        <f>REPT(" ",3-K259)&amp;IF(K259=0," ","")</f>
        <v xml:space="preserve">    </v>
      </c>
      <c r="O259" s="194"/>
      <c r="P259" s="208">
        <f>IF(ISNUMBER(D259),LOOKUP(D259,$AB$5:$AC$7),D259)</f>
        <v>0</v>
      </c>
      <c r="Q259" s="208">
        <f t="shared" si="43"/>
        <v>0</v>
      </c>
      <c r="R259" s="301" t="str">
        <f t="shared" ca="1" si="44"/>
        <v/>
      </c>
      <c r="S259" s="305">
        <f>H259</f>
        <v>0</v>
      </c>
      <c r="T259" s="370"/>
      <c r="U259" s="216">
        <f ca="1">IF(L259="l","",IF(D259+F259&gt;0,SUM(Z259:AA259),-1))</f>
        <v>-1</v>
      </c>
      <c r="V259" s="388"/>
      <c r="W259" s="107"/>
      <c r="Z259" s="114">
        <f>IF(D259&gt;0,0,TRUNC(F259*T259+Y259*X259))</f>
        <v>0</v>
      </c>
      <c r="AA259" t="b">
        <f>IF($D259=1,SUM(Z$13:Z257)-SUM(AA$13:AA257),IF($D259=2,$AA$6,IF($D259=3,TRUNC($AA$6,-3))))</f>
        <v>0</v>
      </c>
      <c r="AB259">
        <f ca="1">IF(OR(AC$8=0,L258="l",D259&gt;0,U259=-1),0,IF(L258="b",-U259,TRUNC(F258*T259)))</f>
        <v>0</v>
      </c>
      <c r="AC259" t="b">
        <f>IF($D259=1,SUM(AB$13:AB257)-SUM(AC$13:AC257),IF($D259=2,$AA$5,IF($D259=3,TRUNC($AA$5,-3))))</f>
        <v>0</v>
      </c>
    </row>
    <row r="260" spans="3:29" ht="15" customHeight="1" x14ac:dyDescent="0.15">
      <c r="C260" s="182"/>
      <c r="D260" s="210"/>
      <c r="E260" s="184"/>
      <c r="F260" s="227"/>
      <c r="G260" s="297" t="str">
        <f ca="1">IF(OR(AC$8=0,L260="b"),"",IF(L260="l",0,"("&amp;FIXED(-F260,K261,0)&amp;M260))</f>
        <v/>
      </c>
      <c r="H260" s="183"/>
      <c r="I260" s="185"/>
      <c r="L260" t="str">
        <f t="shared" ca="1" si="42"/>
        <v>b</v>
      </c>
      <c r="M260" t="str">
        <f>")"&amp;REPT(" ",2-K261)&amp;IF(K261=0," ","")</f>
        <v xml:space="preserve">)   </v>
      </c>
      <c r="O260" s="194"/>
      <c r="P260" s="207">
        <f>D260</f>
        <v>0</v>
      </c>
      <c r="Q260" s="207">
        <f t="shared" si="43"/>
        <v>0</v>
      </c>
      <c r="R260" s="300" t="str">
        <f t="shared" ca="1" si="44"/>
        <v/>
      </c>
      <c r="S260" s="304"/>
      <c r="T260" s="369"/>
      <c r="U260" s="206">
        <f ca="1">IF(OR(AC$8=0,SUM(Z261:AC261)=0),1,IF(L260="l","",SUM(AB261:AC261)))</f>
        <v>1</v>
      </c>
      <c r="V260" s="387"/>
      <c r="W260" s="50"/>
      <c r="Z260"/>
    </row>
    <row r="261" spans="3:29" ht="15" customHeight="1" x14ac:dyDescent="0.15">
      <c r="C261" s="186"/>
      <c r="D261" s="205"/>
      <c r="E261" s="188"/>
      <c r="F261" s="226"/>
      <c r="G261" s="296" t="str">
        <f ca="1">IF(L261="b","",IF(L261="l",0,FIXED(F261,K261,0)&amp;M261))</f>
        <v/>
      </c>
      <c r="H261" s="187"/>
      <c r="I261" s="189"/>
      <c r="K261" s="215"/>
      <c r="L261" t="str">
        <f t="shared" ca="1" si="42"/>
        <v>b</v>
      </c>
      <c r="M261" t="str">
        <f>REPT(" ",3-K261)&amp;IF(K261=0," ","")</f>
        <v xml:space="preserve">    </v>
      </c>
      <c r="O261" s="194"/>
      <c r="P261" s="208">
        <f>IF(ISNUMBER(D261),LOOKUP(D261,$AB$5:$AC$7),D261)</f>
        <v>0</v>
      </c>
      <c r="Q261" s="208">
        <f t="shared" si="43"/>
        <v>0</v>
      </c>
      <c r="R261" s="301" t="str">
        <f t="shared" ca="1" si="44"/>
        <v/>
      </c>
      <c r="S261" s="305">
        <f>H261</f>
        <v>0</v>
      </c>
      <c r="T261" s="370"/>
      <c r="U261" s="216">
        <f ca="1">IF(L261="l","",IF(D261+F261&gt;0,SUM(Z261:AA261),-1))</f>
        <v>-1</v>
      </c>
      <c r="V261" s="454"/>
      <c r="W261" s="107"/>
      <c r="Z261" s="114">
        <f>IF(D261&gt;0,0,TRUNC(F261*T261+Y261*X261))</f>
        <v>0</v>
      </c>
      <c r="AA261" t="b">
        <f>IF($D261=1,SUM(Z$13:Z259)-SUM(AA$13:AA259),IF($D261=2,$AA$6,IF($D261=3,TRUNC($AA$6,-3))))</f>
        <v>0</v>
      </c>
      <c r="AB261">
        <f ca="1">IF(OR(AC$8=0,L260="l",D261&gt;0,U261=-1),0,IF(L260="b",-U261,TRUNC(F260*T261)))</f>
        <v>0</v>
      </c>
      <c r="AC261" t="b">
        <f>IF($D261=1,SUM(AB$13:AB259)-SUM(AC$13:AC259),IF($D261=2,$AA$5,IF($D261=3,TRUNC($AA$5,-3))))</f>
        <v>0</v>
      </c>
    </row>
    <row r="262" spans="3:29" ht="15" customHeight="1" x14ac:dyDescent="0.15">
      <c r="C262" s="182"/>
      <c r="D262" s="210"/>
      <c r="E262" s="184"/>
      <c r="F262" s="227"/>
      <c r="G262" s="297" t="str">
        <f ca="1">IF(OR(AC$8=0,L262="b"),"",IF(L262="l",0,"("&amp;FIXED(-F262,K263,0)&amp;M262))</f>
        <v/>
      </c>
      <c r="H262" s="183"/>
      <c r="I262" s="185"/>
      <c r="L262" t="str">
        <f t="shared" ca="1" si="42"/>
        <v>b</v>
      </c>
      <c r="M262" t="str">
        <f>")"&amp;REPT(" ",2-K263)&amp;IF(K263=0," ","")</f>
        <v xml:space="preserve">)   </v>
      </c>
      <c r="O262" s="194"/>
      <c r="P262" s="207">
        <f>D262</f>
        <v>0</v>
      </c>
      <c r="Q262" s="207">
        <f t="shared" si="43"/>
        <v>0</v>
      </c>
      <c r="R262" s="300" t="str">
        <f t="shared" ca="1" si="44"/>
        <v/>
      </c>
      <c r="S262" s="304"/>
      <c r="T262" s="369"/>
      <c r="U262" s="206">
        <f ca="1">IF(OR(AC$8=0,SUM(Z263:AC263)=0),1,IF(L262="l","",SUM(AB263:AC263)))</f>
        <v>1</v>
      </c>
      <c r="V262" s="387"/>
      <c r="W262" s="50"/>
      <c r="Z262"/>
    </row>
    <row r="263" spans="3:29" ht="15" customHeight="1" x14ac:dyDescent="0.15">
      <c r="C263" s="186"/>
      <c r="D263" s="205"/>
      <c r="E263" s="188"/>
      <c r="F263" s="226"/>
      <c r="G263" s="296" t="str">
        <f ca="1">IF(L263="b","",IF(L263="l",0,FIXED(F263,K263,0)&amp;M263))</f>
        <v/>
      </c>
      <c r="H263" s="187"/>
      <c r="I263" s="189"/>
      <c r="K263" s="215"/>
      <c r="L263" t="str">
        <f t="shared" ca="1" si="42"/>
        <v>b</v>
      </c>
      <c r="M263" t="str">
        <f>REPT(" ",3-K263)&amp;IF(K263=0," ","")</f>
        <v xml:space="preserve">    </v>
      </c>
      <c r="O263" s="194"/>
      <c r="P263" s="208">
        <f>IF(ISNUMBER(D263),LOOKUP(D263,$AB$5:$AC$7),D263)</f>
        <v>0</v>
      </c>
      <c r="Q263" s="208">
        <f t="shared" si="43"/>
        <v>0</v>
      </c>
      <c r="R263" s="301" t="str">
        <f t="shared" ca="1" si="44"/>
        <v/>
      </c>
      <c r="S263" s="305">
        <f>H263</f>
        <v>0</v>
      </c>
      <c r="T263" s="370"/>
      <c r="U263" s="216">
        <f ca="1">IF(L263="l","",IF(D263+F263&gt;0,SUM(Z263:AA263),-1))</f>
        <v>-1</v>
      </c>
      <c r="V263" s="454"/>
      <c r="W263" s="107"/>
      <c r="Z263" s="114">
        <f>IF(D263&gt;0,0,TRUNC(F263*T263+Y263*X263))</f>
        <v>0</v>
      </c>
      <c r="AA263" t="b">
        <f>IF($D263=1,SUM(Z$13:Z261)-SUM(AA$13:AA261),IF($D263=2,$AA$6,IF($D263=3,TRUNC($AA$6,-3))))</f>
        <v>0</v>
      </c>
      <c r="AB263">
        <f ca="1">IF(OR(AC$8=0,L262="l",D263&gt;0,U263=-1),0,IF(L262="b",-U263,TRUNC(F262*T263)))</f>
        <v>0</v>
      </c>
      <c r="AC263" t="b">
        <f>IF($D263=1,SUM(AB$13:AB261)-SUM(AC$13:AC261),IF($D263=2,$AA$5,IF($D263=3,TRUNC($AA$5,-3))))</f>
        <v>0</v>
      </c>
    </row>
    <row r="264" spans="3:29" ht="15" customHeight="1" x14ac:dyDescent="0.15">
      <c r="C264" s="182"/>
      <c r="D264" s="210"/>
      <c r="E264" s="184"/>
      <c r="F264" s="227"/>
      <c r="G264" s="297" t="str">
        <f ca="1">IF(OR(AC$8=0,L264="b"),"",IF(L264="l",0,"("&amp;FIXED(-F264,K265,0)&amp;M264))</f>
        <v/>
      </c>
      <c r="H264" s="183"/>
      <c r="I264" s="185"/>
      <c r="L264" t="str">
        <f t="shared" ca="1" si="42"/>
        <v>b</v>
      </c>
      <c r="M264" t="str">
        <f>")"&amp;REPT(" ",2-K265)&amp;IF(K265=0," ","")</f>
        <v xml:space="preserve">)   </v>
      </c>
      <c r="O264" s="194"/>
      <c r="P264" s="207">
        <f>D264</f>
        <v>0</v>
      </c>
      <c r="Q264" s="207">
        <f t="shared" si="43"/>
        <v>0</v>
      </c>
      <c r="R264" s="300" t="str">
        <f t="shared" ca="1" si="44"/>
        <v/>
      </c>
      <c r="S264" s="304"/>
      <c r="T264" s="369"/>
      <c r="U264" s="206">
        <f ca="1">IF(OR(AC$8=0,SUM(Z265:AC265)=0),1,IF(L264="l","",SUM(AB265:AC265)))</f>
        <v>1</v>
      </c>
      <c r="V264" s="387"/>
      <c r="W264" s="50"/>
      <c r="Z264"/>
    </row>
    <row r="265" spans="3:29" ht="15" customHeight="1" x14ac:dyDescent="0.15">
      <c r="C265" s="186"/>
      <c r="D265" s="205"/>
      <c r="E265" s="188"/>
      <c r="F265" s="226"/>
      <c r="G265" s="296" t="str">
        <f ca="1">IF(L265="b","",IF(L265="l",0,FIXED(F265,K265,0)&amp;M265))</f>
        <v/>
      </c>
      <c r="H265" s="187"/>
      <c r="I265" s="189"/>
      <c r="K265" s="215"/>
      <c r="L265" t="str">
        <f t="shared" ca="1" si="42"/>
        <v>b</v>
      </c>
      <c r="M265" t="str">
        <f>REPT(" ",3-K265)&amp;IF(K265=0," ","")</f>
        <v xml:space="preserve">    </v>
      </c>
      <c r="O265" s="194"/>
      <c r="P265" s="208">
        <f>IF(ISNUMBER(D265),LOOKUP(D265,$AB$5:$AC$7),D265)</f>
        <v>0</v>
      </c>
      <c r="Q265" s="208">
        <f t="shared" si="43"/>
        <v>0</v>
      </c>
      <c r="R265" s="301" t="str">
        <f t="shared" ca="1" si="44"/>
        <v/>
      </c>
      <c r="S265" s="305">
        <f>H265</f>
        <v>0</v>
      </c>
      <c r="T265" s="370"/>
      <c r="U265" s="216">
        <f ca="1">IF(L265="l","",IF(D265+F265&gt;0,SUM(Z265:AA265),-1))</f>
        <v>-1</v>
      </c>
      <c r="V265" s="454"/>
      <c r="W265" s="107"/>
      <c r="Z265" s="114">
        <f>IF(D265&gt;0,0,TRUNC(F265*T265+Y265*X265))</f>
        <v>0</v>
      </c>
      <c r="AA265" t="b">
        <f>IF($D265=1,SUM(Z$13:Z263)-SUM(AA$13:AA263),IF($D265=2,$AA$6,IF($D265=3,TRUNC($AA$6,-3))))</f>
        <v>0</v>
      </c>
      <c r="AB265">
        <f ca="1">IF(OR(AC$8=0,L264="l",D265&gt;0,U265=-1),0,IF(L264="b",-U265,TRUNC(F264*T265)))</f>
        <v>0</v>
      </c>
      <c r="AC265" t="b">
        <f>IF($D265=1,SUM(AB$13:AB263)-SUM(AC$13:AC263),IF($D265=2,$AA$5,IF($D265=3,TRUNC($AA$5,-3))))</f>
        <v>0</v>
      </c>
    </row>
    <row r="266" spans="3:29" ht="15" customHeight="1" x14ac:dyDescent="0.15">
      <c r="C266" s="182"/>
      <c r="D266" s="210"/>
      <c r="E266" s="184"/>
      <c r="F266" s="227"/>
      <c r="G266" s="297" t="str">
        <f ca="1">IF(OR(AC$8=0,L266="b"),"",IF(L266="l",0,"("&amp;FIXED(-F266,K267,0)&amp;M266))</f>
        <v/>
      </c>
      <c r="H266" s="183"/>
      <c r="I266" s="185"/>
      <c r="L266" t="str">
        <f t="shared" ca="1" si="42"/>
        <v>b</v>
      </c>
      <c r="M266" t="str">
        <f>")"&amp;REPT(" ",2-K267)&amp;IF(K267=0," ","")</f>
        <v xml:space="preserve">)   </v>
      </c>
      <c r="O266" s="194"/>
      <c r="P266" s="207">
        <f>D266</f>
        <v>0</v>
      </c>
      <c r="Q266" s="207">
        <f t="shared" si="43"/>
        <v>0</v>
      </c>
      <c r="R266" s="300" t="str">
        <f t="shared" ca="1" si="44"/>
        <v/>
      </c>
      <c r="S266" s="304"/>
      <c r="T266" s="369"/>
      <c r="U266" s="206">
        <f ca="1">IF(OR(AC$8=0,SUM(Z267:AC267)=0),1,IF(L266="l","",SUM(AB267:AC267)))</f>
        <v>1</v>
      </c>
      <c r="V266" s="387"/>
      <c r="W266" s="50"/>
      <c r="Z266"/>
    </row>
    <row r="267" spans="3:29" ht="15" customHeight="1" x14ac:dyDescent="0.15">
      <c r="C267" s="186"/>
      <c r="D267" s="205"/>
      <c r="E267" s="188"/>
      <c r="F267" s="226"/>
      <c r="G267" s="296" t="str">
        <f ca="1">IF(L267="b","",IF(L267="l",0,FIXED(F267,K267,0)&amp;M267))</f>
        <v/>
      </c>
      <c r="H267" s="187"/>
      <c r="I267" s="189"/>
      <c r="K267" s="215"/>
      <c r="L267" t="str">
        <f t="shared" ca="1" si="42"/>
        <v>b</v>
      </c>
      <c r="M267" t="str">
        <f>REPT(" ",3-K267)&amp;IF(K267=0," ","")</f>
        <v xml:space="preserve">    </v>
      </c>
      <c r="O267" s="194"/>
      <c r="P267" s="208">
        <f>IF(ISNUMBER(D267),LOOKUP(D267,$AB$5:$AC$7),D267)</f>
        <v>0</v>
      </c>
      <c r="Q267" s="208">
        <f t="shared" si="43"/>
        <v>0</v>
      </c>
      <c r="R267" s="301" t="str">
        <f t="shared" ca="1" si="44"/>
        <v/>
      </c>
      <c r="S267" s="305">
        <f>H267</f>
        <v>0</v>
      </c>
      <c r="T267" s="370"/>
      <c r="U267" s="216">
        <f ca="1">IF(L267="l","",IF(D267+F267&gt;0,SUM(Z267:AA267),-1))</f>
        <v>-1</v>
      </c>
      <c r="V267" s="454"/>
      <c r="W267" s="107"/>
      <c r="Z267" s="114">
        <f>IF(D267&gt;0,0,TRUNC(F267*T267+Y267*X267))</f>
        <v>0</v>
      </c>
      <c r="AA267" t="b">
        <f>IF($D267=1,SUM(Z$13:Z265)-SUM(AA$13:AA265),IF($D267=2,$AA$6,IF($D267=3,TRUNC($AA$6,-3))))</f>
        <v>0</v>
      </c>
      <c r="AB267">
        <f ca="1">IF(OR(AC$8=0,L266="l",D267&gt;0,U267=-1),0,IF(L266="b",-U267,TRUNC(F266*T267)))</f>
        <v>0</v>
      </c>
      <c r="AC267" t="b">
        <f>IF($D267=1,SUM(AB$13:AB265)-SUM(AC$13:AC265),IF($D267=2,$AA$5,IF($D267=3,TRUNC($AA$5,-3))))</f>
        <v>0</v>
      </c>
    </row>
    <row r="268" spans="3:29" ht="15" customHeight="1" x14ac:dyDescent="0.15">
      <c r="C268" s="182"/>
      <c r="D268" s="210"/>
      <c r="E268" s="184"/>
      <c r="F268" s="227"/>
      <c r="G268" s="297" t="str">
        <f ca="1">IF(OR(AC$8=0,L268="b"),"",IF(L268="l",0,"("&amp;FIXED(-F268,K269,0)&amp;M268))</f>
        <v/>
      </c>
      <c r="H268" s="183"/>
      <c r="I268" s="185"/>
      <c r="L268" t="str">
        <f t="shared" ca="1" si="42"/>
        <v>b</v>
      </c>
      <c r="M268" t="str">
        <f>")"&amp;REPT(" ",2-K269)&amp;IF(K269=0," ","")</f>
        <v xml:space="preserve">)   </v>
      </c>
      <c r="O268" s="194"/>
      <c r="P268" s="207">
        <f>D268</f>
        <v>0</v>
      </c>
      <c r="Q268" s="207">
        <f t="shared" si="43"/>
        <v>0</v>
      </c>
      <c r="R268" s="300" t="str">
        <f t="shared" ca="1" si="44"/>
        <v/>
      </c>
      <c r="S268" s="304"/>
      <c r="T268" s="369"/>
      <c r="U268" s="206">
        <f ca="1">IF(OR(AC$8=0,SUM(Z269:AC269)=0),1,IF(L268="l","",SUM(AB269:AC269)))</f>
        <v>1</v>
      </c>
      <c r="V268" s="387"/>
      <c r="W268" s="50"/>
      <c r="Z268"/>
    </row>
    <row r="269" spans="3:29" ht="15" customHeight="1" x14ac:dyDescent="0.15">
      <c r="C269" s="186"/>
      <c r="D269" s="205"/>
      <c r="E269" s="188"/>
      <c r="F269" s="226"/>
      <c r="G269" s="296" t="str">
        <f ca="1">IF(L269="b","",IF(L269="l",0,FIXED(F269,K269,0)&amp;M269))</f>
        <v/>
      </c>
      <c r="H269" s="187"/>
      <c r="I269" s="189"/>
      <c r="K269" s="215"/>
      <c r="L269" t="str">
        <f t="shared" ca="1" si="42"/>
        <v>b</v>
      </c>
      <c r="M269" t="str">
        <f>REPT(" ",3-K269)&amp;IF(K269=0," ","")</f>
        <v xml:space="preserve">    </v>
      </c>
      <c r="O269" s="194"/>
      <c r="P269" s="208">
        <f>IF(ISNUMBER(D269),LOOKUP(D269,$AB$5:$AC$7),D269)</f>
        <v>0</v>
      </c>
      <c r="Q269" s="208">
        <f t="shared" si="43"/>
        <v>0</v>
      </c>
      <c r="R269" s="301" t="str">
        <f t="shared" ca="1" si="44"/>
        <v/>
      </c>
      <c r="S269" s="305">
        <f>H269</f>
        <v>0</v>
      </c>
      <c r="T269" s="370"/>
      <c r="U269" s="216">
        <f ca="1">IF(L269="l","",IF(D269+F269&gt;0,SUM(Z269:AA269),-1))</f>
        <v>-1</v>
      </c>
      <c r="V269" s="388"/>
      <c r="W269" s="107"/>
      <c r="Z269" s="114">
        <f>IF(D269&gt;0,0,TRUNC(F269*T269+Y269*X269))</f>
        <v>0</v>
      </c>
      <c r="AA269" t="b">
        <f>IF($D269=1,SUM(Z$13:Z267)-SUM(AA$13:AA267),IF($D269=2,$AA$6,IF($D269=3,TRUNC($AA$6,-3))))</f>
        <v>0</v>
      </c>
      <c r="AB269">
        <f ca="1">IF(OR(AC$8=0,L268="l",D269&gt;0,U269=-1),0,IF(L268="b",-U269,TRUNC(F268*T269)))</f>
        <v>0</v>
      </c>
      <c r="AC269" t="b">
        <f>IF($D269=1,SUM(AB$13:AB267)-SUM(AC$13:AC267),IF($D269=2,$AA$5,IF($D269=3,TRUNC($AA$5,-3))))</f>
        <v>0</v>
      </c>
    </row>
    <row r="270" spans="3:29" ht="15" customHeight="1" x14ac:dyDescent="0.15">
      <c r="C270" s="182"/>
      <c r="D270" s="210"/>
      <c r="E270" s="184"/>
      <c r="F270" s="227"/>
      <c r="G270" s="297" t="str">
        <f ca="1">IF(OR(AC$8=0,L270="b"),"",IF(L270="l",0,"("&amp;FIXED(-F270,K271,0)&amp;M270))</f>
        <v/>
      </c>
      <c r="H270" s="183"/>
      <c r="I270" s="185"/>
      <c r="L270" t="str">
        <f t="shared" ca="1" si="42"/>
        <v>b</v>
      </c>
      <c r="M270" t="str">
        <f>")"&amp;REPT(" ",2-K271)&amp;IF(K271=0," ","")</f>
        <v xml:space="preserve">)   </v>
      </c>
      <c r="O270" s="194"/>
      <c r="P270" s="207">
        <f>D270</f>
        <v>0</v>
      </c>
      <c r="Q270" s="207">
        <f t="shared" si="43"/>
        <v>0</v>
      </c>
      <c r="R270" s="300" t="str">
        <f t="shared" ca="1" si="44"/>
        <v/>
      </c>
      <c r="S270" s="304"/>
      <c r="T270" s="369"/>
      <c r="U270" s="206">
        <f ca="1">IF(OR(AC$8=0,SUM(Z271:AC271)=0),1,IF(L270="l","",SUM(AB271:AC271)))</f>
        <v>1</v>
      </c>
      <c r="V270" s="387"/>
      <c r="W270" s="50"/>
      <c r="Z270"/>
    </row>
    <row r="271" spans="3:29" ht="15" customHeight="1" x14ac:dyDescent="0.15">
      <c r="C271" s="186"/>
      <c r="D271" s="205"/>
      <c r="E271" s="188"/>
      <c r="F271" s="226"/>
      <c r="G271" s="296" t="str">
        <f ca="1">IF(L271="b","",IF(L271="l",0,FIXED(F271,K271,0)&amp;M271))</f>
        <v/>
      </c>
      <c r="H271" s="187"/>
      <c r="I271" s="189"/>
      <c r="K271" s="215"/>
      <c r="L271" t="str">
        <f t="shared" ca="1" si="42"/>
        <v>b</v>
      </c>
      <c r="M271" t="str">
        <f>REPT(" ",3-K271)&amp;IF(K271=0," ","")</f>
        <v xml:space="preserve">    </v>
      </c>
      <c r="O271" s="194"/>
      <c r="P271" s="208">
        <f>IF(ISNUMBER(D271),LOOKUP(D271,$AB$5:$AC$7),D271)</f>
        <v>0</v>
      </c>
      <c r="Q271" s="208">
        <f t="shared" si="43"/>
        <v>0</v>
      </c>
      <c r="R271" s="301" t="str">
        <f t="shared" ca="1" si="44"/>
        <v/>
      </c>
      <c r="S271" s="305">
        <f>H271</f>
        <v>0</v>
      </c>
      <c r="T271" s="370"/>
      <c r="U271" s="216">
        <f ca="1">IF(L271="l","",IF(D271+F271&gt;0,SUM(Z271:AA271),-1))</f>
        <v>-1</v>
      </c>
      <c r="V271" s="388"/>
      <c r="W271" s="107"/>
      <c r="Z271" s="114">
        <f>IF(D271&gt;0,0,TRUNC(F271*T271+Y271*X271))</f>
        <v>0</v>
      </c>
      <c r="AA271" t="b">
        <f>IF($D271=1,SUM(Z$13:Z269)-SUM(AA$13:AA269),IF($D271=2,$AA$6,IF($D271=3,TRUNC($AA$6,-3))))</f>
        <v>0</v>
      </c>
      <c r="AB271">
        <f ca="1">IF(OR(AC$8=0,L270="l",D271&gt;0,U271=-1),0,IF(L270="b",-U271,TRUNC(F270*T271)))</f>
        <v>0</v>
      </c>
      <c r="AC271" t="b">
        <f>IF($D271=1,SUM(AB$13:AB269)-SUM(AC$13:AC269),IF($D271=2,$AA$5,IF($D271=3,TRUNC($AA$5,-3))))</f>
        <v>0</v>
      </c>
    </row>
    <row r="272" spans="3:29" ht="15" customHeight="1" x14ac:dyDescent="0.15">
      <c r="C272" s="182"/>
      <c r="D272" s="210"/>
      <c r="E272" s="184"/>
      <c r="F272" s="227"/>
      <c r="G272" s="297" t="str">
        <f ca="1">IF(OR(AC$8=0,L272="b"),"",IF(L272="l",0,"("&amp;FIXED(-F272,K273,0)&amp;M272))</f>
        <v/>
      </c>
      <c r="H272" s="183"/>
      <c r="I272" s="185"/>
      <c r="L272" t="str">
        <f t="shared" ca="1" si="42"/>
        <v>b</v>
      </c>
      <c r="M272" t="str">
        <f>")"&amp;REPT(" ",2-K273)&amp;IF(K273=0," ","")</f>
        <v xml:space="preserve">)   </v>
      </c>
      <c r="O272" s="194"/>
      <c r="P272" s="207">
        <f>D272</f>
        <v>0</v>
      </c>
      <c r="Q272" s="207">
        <f t="shared" si="43"/>
        <v>0</v>
      </c>
      <c r="R272" s="300" t="str">
        <f t="shared" ca="1" si="44"/>
        <v/>
      </c>
      <c r="S272" s="304"/>
      <c r="T272" s="369"/>
      <c r="U272" s="206">
        <f ca="1">IF(OR(AC$8=0,SUM(Z273:AC273)=0),1,IF(L272="l","",SUM(AB273:AC273)))</f>
        <v>1</v>
      </c>
      <c r="V272" s="387"/>
      <c r="W272" s="50"/>
      <c r="Z272"/>
    </row>
    <row r="273" spans="3:29" ht="15" customHeight="1" x14ac:dyDescent="0.15">
      <c r="C273" s="186"/>
      <c r="D273" s="205"/>
      <c r="E273" s="188"/>
      <c r="F273" s="226"/>
      <c r="G273" s="296" t="str">
        <f ca="1">IF(L273="b","",IF(L273="l",0,FIXED(F273,K273,0)&amp;M273))</f>
        <v/>
      </c>
      <c r="H273" s="187"/>
      <c r="I273" s="189"/>
      <c r="K273" s="215"/>
      <c r="L273" t="str">
        <f t="shared" ca="1" si="42"/>
        <v>b</v>
      </c>
      <c r="M273" t="str">
        <f>REPT(" ",3-K273)&amp;IF(K273=0," ","")</f>
        <v xml:space="preserve">    </v>
      </c>
      <c r="O273" s="194"/>
      <c r="P273" s="208">
        <f>IF(ISNUMBER(D273),LOOKUP(D273,$AB$5:$AC$7),D273)</f>
        <v>0</v>
      </c>
      <c r="Q273" s="208">
        <f t="shared" si="43"/>
        <v>0</v>
      </c>
      <c r="R273" s="301" t="str">
        <f t="shared" ca="1" si="44"/>
        <v/>
      </c>
      <c r="S273" s="305">
        <f>H273</f>
        <v>0</v>
      </c>
      <c r="T273" s="370"/>
      <c r="U273" s="216">
        <f ca="1">IF(L273="l","",IF(D273+F273&gt;0,SUM(Z273:AA273),-1))</f>
        <v>-1</v>
      </c>
      <c r="V273" s="388"/>
      <c r="W273" s="107"/>
      <c r="Z273" s="114">
        <f>IF(D273&gt;0,0,TRUNC(F273*T273+Y273*X273))</f>
        <v>0</v>
      </c>
      <c r="AA273" t="b">
        <f>IF($D273=1,SUM(Z$13:Z271)-SUM(AA$13:AA271),IF($D273=2,$AA$6,IF($D273=3,TRUNC($AA$6,-3))))</f>
        <v>0</v>
      </c>
      <c r="AB273">
        <f ca="1">IF(OR(AC$8=0,L272="l",D273&gt;0,U273=-1),0,IF(L272="b",-U273,TRUNC(F272*T273)))</f>
        <v>0</v>
      </c>
      <c r="AC273" t="b">
        <f>IF($D273=1,SUM(AB$13:AB271)-SUM(AC$13:AC271),IF($D273=2,$AA$5,IF($D273=3,TRUNC($AA$5,-3))))</f>
        <v>0</v>
      </c>
    </row>
    <row r="274" spans="3:29" ht="15" customHeight="1" x14ac:dyDescent="0.15">
      <c r="C274" s="182"/>
      <c r="D274" s="210"/>
      <c r="E274" s="184"/>
      <c r="F274" s="227"/>
      <c r="G274" s="297" t="str">
        <f ca="1">IF(OR(AC$8=0,L274="b"),"",IF(L274="l",0,"("&amp;FIXED(-F274,K275,0)&amp;M274))</f>
        <v/>
      </c>
      <c r="H274" s="183"/>
      <c r="I274" s="185"/>
      <c r="L274" t="str">
        <f t="shared" ca="1" si="42"/>
        <v>b</v>
      </c>
      <c r="M274" t="str">
        <f>")"&amp;REPT(" ",2-K275)&amp;IF(K275=0," ","")</f>
        <v xml:space="preserve">)   </v>
      </c>
      <c r="O274" s="194"/>
      <c r="P274" s="207">
        <f>D274</f>
        <v>0</v>
      </c>
      <c r="Q274" s="207">
        <f t="shared" si="43"/>
        <v>0</v>
      </c>
      <c r="R274" s="300" t="str">
        <f t="shared" ca="1" si="44"/>
        <v/>
      </c>
      <c r="S274" s="304"/>
      <c r="T274" s="369"/>
      <c r="U274" s="206">
        <f ca="1">IF(OR(AC$8=0,SUM(Z275:AC275)=0),1,IF(L274="l","",SUM(AB275:AC275)))</f>
        <v>1</v>
      </c>
      <c r="V274" s="387"/>
      <c r="W274" s="50"/>
      <c r="Z274"/>
    </row>
    <row r="275" spans="3:29" ht="15" customHeight="1" x14ac:dyDescent="0.15">
      <c r="C275" s="186"/>
      <c r="D275" s="205"/>
      <c r="E275" s="188"/>
      <c r="F275" s="226"/>
      <c r="G275" s="296" t="str">
        <f ca="1">IF(L275="b","",IF(L275="l",0,FIXED(F275,K275,0)&amp;M275))</f>
        <v/>
      </c>
      <c r="H275" s="187"/>
      <c r="I275" s="189"/>
      <c r="K275" s="215"/>
      <c r="L275" t="str">
        <f t="shared" ca="1" si="42"/>
        <v>b</v>
      </c>
      <c r="M275" t="str">
        <f>REPT(" ",3-K275)&amp;IF(K275=0," ","")</f>
        <v xml:space="preserve">    </v>
      </c>
      <c r="O275" s="194"/>
      <c r="P275" s="208">
        <f>IF(ISNUMBER(D275),LOOKUP(D275,$AB$5:$AC$7),D275)</f>
        <v>0</v>
      </c>
      <c r="Q275" s="208">
        <f t="shared" si="43"/>
        <v>0</v>
      </c>
      <c r="R275" s="301" t="str">
        <f t="shared" ca="1" si="44"/>
        <v/>
      </c>
      <c r="S275" s="305">
        <f>H275</f>
        <v>0</v>
      </c>
      <c r="T275" s="370"/>
      <c r="U275" s="216">
        <f ca="1">IF(L275="l","",IF(D275+F275&gt;0,SUM(Z275:AA275),-1))</f>
        <v>-1</v>
      </c>
      <c r="V275" s="388"/>
      <c r="W275" s="107"/>
      <c r="Z275" s="114">
        <f>IF(D275&gt;0,0,TRUNC(F275*T275+Y275*X275))</f>
        <v>0</v>
      </c>
      <c r="AA275" t="b">
        <f>IF($D275=1,SUM(Z$13:Z273)-SUM(AA$13:AA273),IF($D275=2,$AA$6,IF($D275=3,TRUNC($AA$6,-3))))</f>
        <v>0</v>
      </c>
      <c r="AB275">
        <f ca="1">IF(OR(AC$8=0,L274="l",D275&gt;0,U275=-1),0,IF(L274="b",-U275,TRUNC(F274*T275)))</f>
        <v>0</v>
      </c>
      <c r="AC275" t="b">
        <f>IF($D275=1,SUM(AB$13:AB273)-SUM(AC$13:AC273),IF($D275=2,$AA$5,IF($D275=3,TRUNC($AA$5,-3))))</f>
        <v>0</v>
      </c>
    </row>
    <row r="276" spans="3:29" ht="15" customHeight="1" x14ac:dyDescent="0.15">
      <c r="C276" s="182"/>
      <c r="D276" s="210"/>
      <c r="E276" s="184"/>
      <c r="F276" s="227"/>
      <c r="G276" s="297" t="str">
        <f ca="1">IF(OR(AC$8=0,L276="b"),"",IF(L276="l",0,"("&amp;FIXED(-F276,K277,0)&amp;M276))</f>
        <v/>
      </c>
      <c r="H276" s="183"/>
      <c r="I276" s="185"/>
      <c r="L276" t="str">
        <f t="shared" ca="1" si="42"/>
        <v>b</v>
      </c>
      <c r="M276" t="str">
        <f>")"&amp;REPT(" ",2-K277)&amp;IF(K277=0," ","")</f>
        <v xml:space="preserve">)   </v>
      </c>
      <c r="O276" s="194"/>
      <c r="P276" s="207">
        <f>D276</f>
        <v>0</v>
      </c>
      <c r="Q276" s="207">
        <f t="shared" si="43"/>
        <v>0</v>
      </c>
      <c r="R276" s="300" t="str">
        <f t="shared" ca="1" si="44"/>
        <v/>
      </c>
      <c r="S276" s="304"/>
      <c r="T276" s="369"/>
      <c r="U276" s="206">
        <f ca="1">IF(OR(AC$8=0,SUM(Z277:AC277)=0),1,IF(L276="l","",SUM(AB277:AC277)))</f>
        <v>1</v>
      </c>
      <c r="V276" s="387"/>
      <c r="W276" s="50"/>
      <c r="Z276"/>
    </row>
    <row r="277" spans="3:29" ht="15" customHeight="1" x14ac:dyDescent="0.15">
      <c r="C277" s="186"/>
      <c r="D277" s="205"/>
      <c r="E277" s="188"/>
      <c r="F277" s="226"/>
      <c r="G277" s="296" t="str">
        <f ca="1">IF(L277="b","",IF(L277="l",0,FIXED(F277,K277,0)&amp;M277))</f>
        <v/>
      </c>
      <c r="H277" s="187"/>
      <c r="I277" s="189"/>
      <c r="K277" s="215"/>
      <c r="L277" t="str">
        <f t="shared" ca="1" si="42"/>
        <v>b</v>
      </c>
      <c r="M277" t="str">
        <f>REPT(" ",3-K277)&amp;IF(K277=0," ","")</f>
        <v xml:space="preserve">    </v>
      </c>
      <c r="O277" s="194"/>
      <c r="P277" s="208">
        <f>IF(ISNUMBER(D277),LOOKUP(D277,$AB$5:$AC$7),D277)</f>
        <v>0</v>
      </c>
      <c r="Q277" s="208">
        <f t="shared" si="43"/>
        <v>0</v>
      </c>
      <c r="R277" s="301" t="str">
        <f t="shared" ca="1" si="44"/>
        <v/>
      </c>
      <c r="S277" s="305">
        <f>H277</f>
        <v>0</v>
      </c>
      <c r="T277" s="370"/>
      <c r="U277" s="216">
        <f ca="1">IF(L277="l","",IF(D277+F277&gt;0,SUM(Z277:AA277),-1))</f>
        <v>-1</v>
      </c>
      <c r="V277" s="388"/>
      <c r="W277" s="107"/>
      <c r="Z277" s="114">
        <f>IF(D277&gt;0,0,TRUNC(F277*T277+Y277*X277))</f>
        <v>0</v>
      </c>
      <c r="AA277" t="b">
        <f>IF($D277=1,SUM(Z$13:Z275)-SUM(AA$13:AA275),IF($D277=2,$AA$6,IF($D277=3,TRUNC($AA$6,-3))))</f>
        <v>0</v>
      </c>
      <c r="AB277">
        <f ca="1">IF(OR(AC$8=0,L276="l",D277&gt;0,U277=-1),0,IF(L276="b",-U277,TRUNC(F276*T277)))</f>
        <v>0</v>
      </c>
      <c r="AC277" t="b">
        <f>IF($D277=1,SUM(AB$13:AB275)-SUM(AC$13:AC275),IF($D277=2,$AA$5,IF($D277=3,TRUNC($AA$5,-3))))</f>
        <v>0</v>
      </c>
    </row>
    <row r="278" spans="3:29" ht="15" customHeight="1" x14ac:dyDescent="0.15">
      <c r="C278" s="182"/>
      <c r="D278" s="210"/>
      <c r="E278" s="184"/>
      <c r="F278" s="227"/>
      <c r="G278" s="297" t="str">
        <f ca="1">IF(OR(AC$8=0,L278="b"),"",IF(L278="l",0,"("&amp;FIXED(-F278,K279,0)&amp;M278))</f>
        <v/>
      </c>
      <c r="H278" s="183"/>
      <c r="I278" s="185"/>
      <c r="L278" t="str">
        <f t="shared" ca="1" si="42"/>
        <v>b</v>
      </c>
      <c r="M278" t="str">
        <f>")"&amp;REPT(" ",2-K279)&amp;IF(K279=0," ","")</f>
        <v xml:space="preserve">)   </v>
      </c>
      <c r="O278" s="194"/>
      <c r="P278" s="207">
        <f>D278</f>
        <v>0</v>
      </c>
      <c r="Q278" s="207">
        <f t="shared" si="43"/>
        <v>0</v>
      </c>
      <c r="R278" s="300" t="str">
        <f t="shared" ca="1" si="44"/>
        <v/>
      </c>
      <c r="S278" s="304"/>
      <c r="T278" s="369"/>
      <c r="U278" s="206">
        <f ca="1">IF(OR(AC$8=0,SUM(Z279:AC279)=0),1,IF(L278="l","",SUM(AB279:AC279)))</f>
        <v>1</v>
      </c>
      <c r="V278" s="387"/>
      <c r="W278" s="50"/>
      <c r="Z278"/>
    </row>
    <row r="279" spans="3:29" ht="15" customHeight="1" x14ac:dyDescent="0.15">
      <c r="C279" s="186"/>
      <c r="D279" s="205"/>
      <c r="E279" s="188"/>
      <c r="F279" s="226"/>
      <c r="G279" s="296" t="str">
        <f ca="1">IF(L279="b","",IF(L279="l",0,FIXED(F279,K279,0)&amp;M279))</f>
        <v/>
      </c>
      <c r="H279" s="187"/>
      <c r="I279" s="189"/>
      <c r="K279" s="215"/>
      <c r="L279" t="str">
        <f t="shared" ca="1" si="42"/>
        <v>b</v>
      </c>
      <c r="M279" t="str">
        <f>REPT(" ",3-K279)&amp;IF(K279=0," ","")</f>
        <v xml:space="preserve">    </v>
      </c>
      <c r="O279" s="194"/>
      <c r="P279" s="208">
        <f>IF(ISNUMBER(D279),LOOKUP(D279,$AB$5:$AC$7),D279)</f>
        <v>0</v>
      </c>
      <c r="Q279" s="208">
        <f t="shared" si="43"/>
        <v>0</v>
      </c>
      <c r="R279" s="301" t="str">
        <f t="shared" ca="1" si="44"/>
        <v/>
      </c>
      <c r="S279" s="305">
        <f>H279</f>
        <v>0</v>
      </c>
      <c r="T279" s="370"/>
      <c r="U279" s="216">
        <f ca="1">IF(L279="l","",IF(D279+F279&gt;0,SUM(Z279:AA279),-1))</f>
        <v>-1</v>
      </c>
      <c r="V279" s="388"/>
      <c r="W279" s="107"/>
      <c r="Z279" s="114">
        <f>IF(D279&gt;0,0,TRUNC(F279*T279+Y279*X279))</f>
        <v>0</v>
      </c>
      <c r="AA279" t="b">
        <f>IF($D279=1,SUM(Z$13:Z277)-SUM(AA$13:AA277),IF($D279=2,$AA$6,IF($D279=3,TRUNC($AA$6,-3))))</f>
        <v>0</v>
      </c>
      <c r="AB279">
        <f ca="1">IF(OR(AC$8=0,L278="l",D279&gt;0,U279=-1),0,IF(L278="b",-U279,TRUNC(F278*T279)))</f>
        <v>0</v>
      </c>
      <c r="AC279" t="b">
        <f>IF($D279=1,SUM(AB$13:AB277)-SUM(AC$13:AC277),IF($D279=2,$AA$5,IF($D279=3,TRUNC($AA$5,-3))))</f>
        <v>0</v>
      </c>
    </row>
    <row r="280" spans="3:29" ht="15" customHeight="1" x14ac:dyDescent="0.15">
      <c r="C280" s="182"/>
      <c r="D280" s="210"/>
      <c r="E280" s="184"/>
      <c r="F280" s="227"/>
      <c r="G280" s="297" t="str">
        <f ca="1">IF(OR(AC$8=0,L280="b"),"",IF(L280="l",0,"("&amp;FIXED(-F280,K281,0)&amp;M280))</f>
        <v/>
      </c>
      <c r="H280" s="183"/>
      <c r="I280" s="185"/>
      <c r="L280" t="str">
        <f t="shared" ca="1" si="42"/>
        <v>b</v>
      </c>
      <c r="M280" t="str">
        <f>")"&amp;REPT(" ",2-K281)&amp;IF(K281=0," ","")</f>
        <v xml:space="preserve">)   </v>
      </c>
      <c r="O280" s="194"/>
      <c r="P280" s="207">
        <f>D280</f>
        <v>0</v>
      </c>
      <c r="Q280" s="207">
        <f t="shared" si="43"/>
        <v>0</v>
      </c>
      <c r="R280" s="300" t="str">
        <f t="shared" ca="1" si="44"/>
        <v/>
      </c>
      <c r="S280" s="304"/>
      <c r="T280" s="369"/>
      <c r="U280" s="206">
        <f ca="1">IF(OR(AC$8=0,SUM(Z281:AC281)=0),1,IF(L280="l","",SUM(AB281:AC281)))</f>
        <v>1</v>
      </c>
      <c r="V280" s="387"/>
      <c r="W280" s="50"/>
      <c r="Z280"/>
    </row>
    <row r="281" spans="3:29" ht="15" customHeight="1" x14ac:dyDescent="0.15">
      <c r="C281" s="186"/>
      <c r="D281" s="205"/>
      <c r="E281" s="188"/>
      <c r="F281" s="226"/>
      <c r="G281" s="296" t="str">
        <f ca="1">IF(L281="b","",IF(L281="l",0,FIXED(F281,K281,0)&amp;M281))</f>
        <v/>
      </c>
      <c r="H281" s="187"/>
      <c r="I281" s="189"/>
      <c r="K281" s="215"/>
      <c r="L281" t="str">
        <f t="shared" ca="1" si="42"/>
        <v>b</v>
      </c>
      <c r="M281" t="str">
        <f>REPT(" ",3-K281)&amp;IF(K281=0," ","")</f>
        <v xml:space="preserve">    </v>
      </c>
      <c r="O281" s="194"/>
      <c r="P281" s="208">
        <f>IF(ISNUMBER(D281),LOOKUP(D281,$AB$5:$AC$7),D281)</f>
        <v>0</v>
      </c>
      <c r="Q281" s="208">
        <f t="shared" si="43"/>
        <v>0</v>
      </c>
      <c r="R281" s="301" t="str">
        <f t="shared" ca="1" si="44"/>
        <v/>
      </c>
      <c r="S281" s="305">
        <f>H281</f>
        <v>0</v>
      </c>
      <c r="T281" s="370"/>
      <c r="U281" s="216">
        <f ca="1">IF(L281="l","",IF(D281+F281&gt;0,SUM(Z281:AA281),-1))</f>
        <v>-1</v>
      </c>
      <c r="V281" s="388"/>
      <c r="W281" s="107"/>
      <c r="Z281" s="114">
        <f>IF(D281&gt;0,0,TRUNC(F281*T281+Y281*X281))</f>
        <v>0</v>
      </c>
      <c r="AA281" t="b">
        <f>IF($D281=1,SUM(Z$13:Z279)-SUM(AA$13:AA279),IF($D281=2,$AA$6,IF($D281=3,TRUNC($AA$6,-3))))</f>
        <v>0</v>
      </c>
      <c r="AB281">
        <f ca="1">IF(OR(AC$8=0,L280="l",D281&gt;0,U281=-1),0,IF(L280="b",-U281,TRUNC(F280*T281)))</f>
        <v>0</v>
      </c>
      <c r="AC281" t="b">
        <f>IF($D281=1,SUM(AB$13:AB279)-SUM(AC$13:AC279),IF($D281=2,$AA$5,IF($D281=3,TRUNC($AA$5,-3))))</f>
        <v>0</v>
      </c>
    </row>
    <row r="282" spans="3:29" ht="15" customHeight="1" x14ac:dyDescent="0.15">
      <c r="C282" s="182"/>
      <c r="D282" s="210"/>
      <c r="E282" s="184"/>
      <c r="F282" s="227"/>
      <c r="G282" s="297" t="str">
        <f ca="1">IF(OR(AC$8=0,L282="b"),"",IF(L282="l",0,"("&amp;FIXED(-F282,K283,0)&amp;M282))</f>
        <v/>
      </c>
      <c r="H282" s="183"/>
      <c r="I282" s="185"/>
      <c r="L282" t="str">
        <f ca="1">CELL("type",F282)</f>
        <v>b</v>
      </c>
      <c r="M282" t="str">
        <f>")"&amp;REPT(" ",2-K283)&amp;IF(K283=0," ","")</f>
        <v xml:space="preserve">)   </v>
      </c>
      <c r="O282" s="182"/>
      <c r="P282" s="207">
        <f>D282</f>
        <v>0</v>
      </c>
      <c r="Q282" s="207">
        <f t="shared" si="43"/>
        <v>0</v>
      </c>
      <c r="R282" s="300" t="str">
        <f ca="1">G282</f>
        <v/>
      </c>
      <c r="S282" s="304"/>
      <c r="T282" s="369"/>
      <c r="U282" s="206">
        <f ca="1">IF(OR(AC$8=0,SUM(Z283:AC283)=0),1,IF(L282="l","",SUM(AB283:AC283)))</f>
        <v>1</v>
      </c>
      <c r="V282" s="387"/>
      <c r="W282" s="50"/>
      <c r="Z282"/>
    </row>
    <row r="283" spans="3:29" ht="15" customHeight="1" thickBot="1" x14ac:dyDescent="0.2">
      <c r="C283" s="190"/>
      <c r="D283" s="211"/>
      <c r="E283" s="192"/>
      <c r="F283" s="228"/>
      <c r="G283" s="299" t="str">
        <f ca="1">IF(L283="b","",IF(L283="l",0,FIXED(F283,K283,0)&amp;M283))</f>
        <v/>
      </c>
      <c r="H283" s="191"/>
      <c r="I283" s="193"/>
      <c r="K283" s="215"/>
      <c r="L283" t="str">
        <f ca="1">CELL("type",F283)</f>
        <v>b</v>
      </c>
      <c r="M283" t="str">
        <f>REPT(" ",3-K283)&amp;IF(K283=0," ","")</f>
        <v xml:space="preserve">    </v>
      </c>
      <c r="O283" s="190"/>
      <c r="P283" s="209">
        <f>IF(ISNUMBER(D283),LOOKUP(D283,$AB$5:$AC$7),D283)</f>
        <v>0</v>
      </c>
      <c r="Q283" s="209">
        <f t="shared" si="43"/>
        <v>0</v>
      </c>
      <c r="R283" s="302" t="str">
        <f ca="1">G283</f>
        <v/>
      </c>
      <c r="S283" s="306">
        <f>H283</f>
        <v>0</v>
      </c>
      <c r="T283" s="371"/>
      <c r="U283" s="217">
        <f ca="1">IF(L283="l","",IF(D283+F283&gt;0,SUM(Z283:AA283),-1))</f>
        <v>-1</v>
      </c>
      <c r="V283" s="391"/>
      <c r="W283" s="55"/>
      <c r="Z283" s="114">
        <f>IF(D283&gt;0,0,TRUNC(F283*T283+Y283*X283))</f>
        <v>0</v>
      </c>
      <c r="AA283" t="b">
        <f>IF($D283=1,SUM(Z$13:Z281)-SUM(AA$13:AA281),IF($D283=2,$AA$6,IF($D283=3,TRUNC($AA$6,-3))))</f>
        <v>0</v>
      </c>
      <c r="AB283">
        <f ca="1">IF(OR(AC$8=0,L282="l",D283&gt;0,U283=-1),0,IF(L282="b",-U283,TRUNC(F282*T283)))</f>
        <v>0</v>
      </c>
      <c r="AC283" t="b">
        <f>IF($D283=1,SUM(AB$13:AB281)-SUM(AC$13:AC281),IF($D283=2,$AA$5,IF($D283=3,TRUNC($AA$5,-3))))</f>
        <v>0</v>
      </c>
    </row>
    <row r="286" spans="3:29" x14ac:dyDescent="0.15">
      <c r="D286" s="210"/>
      <c r="E286" s="184" t="s">
        <v>482</v>
      </c>
      <c r="F286" s="227"/>
      <c r="G286" s="297" t="str">
        <f ca="1">IF(OR(AC$8=0,L286="b"),"",IF(L286="l",0,"("&amp;FIXED(-F286,K287,0)&amp;M286))</f>
        <v/>
      </c>
      <c r="H286" s="183"/>
      <c r="I286" s="185"/>
      <c r="L286" t="str">
        <f ca="1">CELL("type",F286)</f>
        <v>b</v>
      </c>
      <c r="M286" t="str">
        <f>")"&amp;REPT(" ",2-K287)&amp;IF(K287=0," ","")</f>
        <v xml:space="preserve">)   </v>
      </c>
      <c r="O286" s="194" t="s">
        <v>329</v>
      </c>
      <c r="P286" s="207">
        <f>D286</f>
        <v>0</v>
      </c>
      <c r="Q286" s="207" t="str">
        <f>E286</f>
        <v>ﾓｼﾞｭﾗｰｼﾞｬｯｸ</v>
      </c>
      <c r="R286" s="300" t="str">
        <f ca="1">G286</f>
        <v/>
      </c>
      <c r="S286" s="304"/>
      <c r="T286" s="369"/>
      <c r="U286" s="206">
        <f ca="1">IF(OR(AC$8=0,SUM(Z287:AC287)=0),1,IF(L286="l","",SUM(AB287:AC287)))</f>
        <v>1</v>
      </c>
      <c r="V286" s="387"/>
      <c r="W286" s="50"/>
      <c r="Z286"/>
    </row>
    <row r="287" spans="3:29" x14ac:dyDescent="0.15">
      <c r="D287" s="205" t="s">
        <v>481</v>
      </c>
      <c r="E287" s="188" t="s">
        <v>483</v>
      </c>
      <c r="F287" s="226">
        <v>1</v>
      </c>
      <c r="G287" s="296" t="str">
        <f ca="1">IF(L287="b","",IF(L287="l",0,FIXED(F287,K287,0)&amp;M287))</f>
        <v xml:space="preserve">1    </v>
      </c>
      <c r="H287" s="187" t="s">
        <v>252</v>
      </c>
      <c r="I287" s="189"/>
      <c r="K287" s="215"/>
      <c r="L287" t="str">
        <f ca="1">CELL("type",F287)</f>
        <v>v</v>
      </c>
      <c r="M287" t="str">
        <f>REPT(" ",3-K287)&amp;IF(K287=0," ","")</f>
        <v xml:space="preserve">    </v>
      </c>
      <c r="O287" s="194"/>
      <c r="P287" s="208" t="str">
        <f>IF(ISNUMBER(D287),LOOKUP(D287,$AB$5:$AC$7),D287)</f>
        <v>電　話　端　子</v>
      </c>
      <c r="Q287" s="208" t="str">
        <f>E287</f>
        <v>6極2芯</v>
      </c>
      <c r="R287" s="301" t="str">
        <f ca="1">G287</f>
        <v xml:space="preserve">1    </v>
      </c>
      <c r="S287" s="305" t="str">
        <f>H287</f>
        <v>個</v>
      </c>
      <c r="T287" s="370">
        <v>160</v>
      </c>
      <c r="U287" s="216">
        <f ca="1">IF(L287="l","",IF(D287+F287&gt;0,SUM(Z287:AA287),-1))</f>
        <v>160</v>
      </c>
      <c r="V287" s="388">
        <v>526</v>
      </c>
      <c r="W287" s="107"/>
      <c r="Z287" s="114">
        <f>IF(D287&gt;0,0,TRUNC(F287*T287+Y287*X287))</f>
        <v>160</v>
      </c>
      <c r="AA287" t="b">
        <f>IF($D287=1,SUM(Z$13:Z285)-SUM(AA$13:AA285),IF($D287=2,$AA$6,IF($D287=3,TRUNC($AA$6,-3))))</f>
        <v>0</v>
      </c>
      <c r="AB287">
        <f ca="1">IF(OR(AC$8=0,L286="l",D287&gt;0,U287=-1),0,IF(L286="b",-U287,TRUNC(F286*T287)))</f>
        <v>0</v>
      </c>
      <c r="AC287" t="b">
        <f>IF($D287=1,SUM(AB$13:AB285)-SUM(AC$13:AC285),IF($D287=2,$AA$5,IF($D287=3,TRUNC($AA$5,-3))))</f>
        <v>0</v>
      </c>
    </row>
  </sheetData>
  <mergeCells count="8">
    <mergeCell ref="O215:O217"/>
    <mergeCell ref="V215:V217"/>
    <mergeCell ref="O145:O147"/>
    <mergeCell ref="V145:V147"/>
    <mergeCell ref="V9:V11"/>
    <mergeCell ref="O9:O11"/>
    <mergeCell ref="O75:O77"/>
    <mergeCell ref="V75:V77"/>
  </mergeCells>
  <phoneticPr fontId="12"/>
  <conditionalFormatting sqref="O25 O19 O15 O13 O17 O21 O120:O121 O143 O191 O23 O187 O105 O73 O227 O231:O281 O211 O207 O223 O229 O225 O287 O107 O123 O197 O193 O199 O189 O181 O185 O179 O175:O176 O195 O173 O171 O183 O209 O213 O201 O203 O205 O219 O221 O97 O101 O99 O159 O161 O43:O69">
    <cfRule type="expression" dxfId="60" priority="31" stopIfTrue="1">
      <formula>D13=1</formula>
    </cfRule>
  </conditionalFormatting>
  <conditionalFormatting sqref="O27 O29 O31">
    <cfRule type="expression" dxfId="59" priority="30" stopIfTrue="1">
      <formula>D27=1</formula>
    </cfRule>
  </conditionalFormatting>
  <conditionalFormatting sqref="O39 O35 O33 O37 O45:O46 O41:O43">
    <cfRule type="expression" dxfId="58" priority="29" stopIfTrue="1">
      <formula>D33=1</formula>
    </cfRule>
  </conditionalFormatting>
  <conditionalFormatting sqref="O57 O59 O69 O61 O67 O63 O65">
    <cfRule type="expression" dxfId="57" priority="28" stopIfTrue="1">
      <formula>D57=1</formula>
    </cfRule>
  </conditionalFormatting>
  <conditionalFormatting sqref="O79 O89 O81 O83 O87 O85">
    <cfRule type="expression" dxfId="56" priority="27" stopIfTrue="1">
      <formula>D79=1</formula>
    </cfRule>
  </conditionalFormatting>
  <conditionalFormatting sqref="O48">
    <cfRule type="expression" dxfId="55" priority="26" stopIfTrue="1">
      <formula>D48=1</formula>
    </cfRule>
  </conditionalFormatting>
  <conditionalFormatting sqref="O91">
    <cfRule type="expression" dxfId="54" priority="25" stopIfTrue="1">
      <formula>D91=1</formula>
    </cfRule>
  </conditionalFormatting>
  <conditionalFormatting sqref="O93">
    <cfRule type="expression" dxfId="53" priority="24" stopIfTrue="1">
      <formula>D93=1</formula>
    </cfRule>
  </conditionalFormatting>
  <conditionalFormatting sqref="O95">
    <cfRule type="expression" dxfId="52" priority="23" stopIfTrue="1">
      <formula>D95=1</formula>
    </cfRule>
  </conditionalFormatting>
  <conditionalFormatting sqref="O103">
    <cfRule type="expression" dxfId="51" priority="22" stopIfTrue="1">
      <formula>D103=1</formula>
    </cfRule>
  </conditionalFormatting>
  <conditionalFormatting sqref="O111 O117 O109 O113 O115 O119">
    <cfRule type="expression" dxfId="50" priority="21" stopIfTrue="1">
      <formula>D109=1</formula>
    </cfRule>
  </conditionalFormatting>
  <conditionalFormatting sqref="O125">
    <cfRule type="expression" dxfId="49" priority="20" stopIfTrue="1">
      <formula>D125=1</formula>
    </cfRule>
  </conditionalFormatting>
  <conditionalFormatting sqref="O127 O129">
    <cfRule type="expression" dxfId="48" priority="19" stopIfTrue="1">
      <formula>D127=1</formula>
    </cfRule>
  </conditionalFormatting>
  <conditionalFormatting sqref="O131:O132">
    <cfRule type="expression" dxfId="47" priority="18" stopIfTrue="1">
      <formula>D131=1</formula>
    </cfRule>
  </conditionalFormatting>
  <conditionalFormatting sqref="O135">
    <cfRule type="expression" dxfId="46" priority="17" stopIfTrue="1">
      <formula>D135=1</formula>
    </cfRule>
  </conditionalFormatting>
  <conditionalFormatting sqref="O139 O137">
    <cfRule type="expression" dxfId="45" priority="16" stopIfTrue="1">
      <formula>D137=1</formula>
    </cfRule>
  </conditionalFormatting>
  <conditionalFormatting sqref="O141">
    <cfRule type="expression" dxfId="44" priority="15" stopIfTrue="1">
      <formula>D141=1</formula>
    </cfRule>
  </conditionalFormatting>
  <conditionalFormatting sqref="O155 O157 O149 O151 O153">
    <cfRule type="expression" dxfId="43" priority="14" stopIfTrue="1">
      <formula>D149=1</formula>
    </cfRule>
  </conditionalFormatting>
  <conditionalFormatting sqref="O167 O169 O163 O165">
    <cfRule type="expression" dxfId="42" priority="13" stopIfTrue="1">
      <formula>D163=1</formula>
    </cfRule>
  </conditionalFormatting>
  <conditionalFormatting sqref="O68:O69">
    <cfRule type="expression" dxfId="41" priority="10" stopIfTrue="1">
      <formula>D68=1</formula>
    </cfRule>
  </conditionalFormatting>
  <conditionalFormatting sqref="O69">
    <cfRule type="expression" dxfId="40" priority="9" stopIfTrue="1">
      <formula>D69=1</formula>
    </cfRule>
  </conditionalFormatting>
  <conditionalFormatting sqref="O70:O71">
    <cfRule type="expression" dxfId="39" priority="8" stopIfTrue="1">
      <formula>D70=1</formula>
    </cfRule>
  </conditionalFormatting>
  <conditionalFormatting sqref="O71">
    <cfRule type="expression" dxfId="38" priority="7" stopIfTrue="1">
      <formula>D71=1</formula>
    </cfRule>
  </conditionalFormatting>
  <conditionalFormatting sqref="O70:O71">
    <cfRule type="expression" dxfId="37" priority="6" stopIfTrue="1">
      <formula>D70=1</formula>
    </cfRule>
  </conditionalFormatting>
  <conditionalFormatting sqref="O71">
    <cfRule type="expression" dxfId="36" priority="5" stopIfTrue="1">
      <formula>D71=1</formula>
    </cfRule>
  </conditionalFormatting>
  <conditionalFormatting sqref="O70:O71">
    <cfRule type="expression" dxfId="35" priority="4" stopIfTrue="1">
      <formula>D70=1</formula>
    </cfRule>
  </conditionalFormatting>
  <conditionalFormatting sqref="O71">
    <cfRule type="expression" dxfId="34" priority="3" stopIfTrue="1">
      <formula>D71=1</formula>
    </cfRule>
  </conditionalFormatting>
  <conditionalFormatting sqref="O72:O73">
    <cfRule type="expression" dxfId="33" priority="2" stopIfTrue="1">
      <formula>D72=1</formula>
    </cfRule>
  </conditionalFormatting>
  <conditionalFormatting sqref="O73">
    <cfRule type="expression" dxfId="32" priority="1" stopIfTrue="1">
      <formula>D73=1</formula>
    </cfRule>
  </conditionalFormatting>
  <dataValidations count="1">
    <dataValidation imeMode="off" showInputMessage="1" showErrorMessage="1" promptTitle="警告" prompt="計算式が設定されています_x000a_入力を続けますか?" sqref="G78:G143 G218:G283 G148:G213 G286:G287 G12:G73" xr:uid="{00000000-0002-0000-0D00-000000000000}"/>
  </dataValidations>
  <pageMargins left="0.70866141732283472" right="0.19685039370078741" top="0.78740157480314965" bottom="0.39370078740157483" header="0" footer="0"/>
  <pageSetup paperSize="9" scale="80"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ransitionEvaluation="1">
    <tabColor indexed="39"/>
  </sheetPr>
  <dimension ref="A1:AD213"/>
  <sheetViews>
    <sheetView view="pageBreakPreview" topLeftCell="J1" zoomScaleNormal="90" zoomScaleSheetLayoutView="100" workbookViewId="0">
      <selection activeCell="B1" sqref="B1"/>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5.625" customWidth="1"/>
    <col min="18" max="18" width="12.125" customWidth="1"/>
    <col min="19" max="19" width="4.625" customWidth="1"/>
    <col min="20" max="20" width="10.625" customWidth="1"/>
    <col min="21" max="21" width="15.625" customWidth="1"/>
    <col min="22" max="22" width="8.625" customWidth="1"/>
    <col min="23" max="23" width="16.625" customWidth="1"/>
    <col min="24" max="24" width="9.125" bestFit="1" customWidth="1"/>
    <col min="25" max="25" width="9.125" customWidth="1"/>
    <col min="26" max="29" width="9.625" customWidth="1"/>
  </cols>
  <sheetData>
    <row r="1" spans="1:30" x14ac:dyDescent="0.15">
      <c r="D1" t="s">
        <v>307</v>
      </c>
      <c r="F1" t="s">
        <v>308</v>
      </c>
    </row>
    <row r="2" spans="1:30" x14ac:dyDescent="0.15">
      <c r="D2" t="s">
        <v>272</v>
      </c>
      <c r="F2" s="224" t="s">
        <v>267</v>
      </c>
    </row>
    <row r="3" spans="1:30" x14ac:dyDescent="0.15">
      <c r="D3" t="s">
        <v>274</v>
      </c>
      <c r="F3" s="224" t="s">
        <v>271</v>
      </c>
    </row>
    <row r="4" spans="1:30" ht="14.25" thickBot="1" x14ac:dyDescent="0.2">
      <c r="C4" t="s">
        <v>214</v>
      </c>
      <c r="D4" t="s">
        <v>273</v>
      </c>
      <c r="F4" s="224" t="s">
        <v>268</v>
      </c>
      <c r="O4" t="s">
        <v>214</v>
      </c>
      <c r="AC4" t="s">
        <v>89</v>
      </c>
    </row>
    <row r="5" spans="1:30" x14ac:dyDescent="0.15">
      <c r="B5" s="100" t="s">
        <v>83</v>
      </c>
      <c r="N5" t="s">
        <v>215</v>
      </c>
      <c r="O5" s="16"/>
      <c r="P5" s="17"/>
      <c r="Q5" s="17"/>
      <c r="R5" s="18"/>
      <c r="S5" s="17"/>
      <c r="T5" s="18"/>
      <c r="U5" s="18"/>
      <c r="V5" s="18"/>
      <c r="W5" s="19"/>
      <c r="Z5" s="100" t="s">
        <v>216</v>
      </c>
      <c r="AA5">
        <f ca="1">SUM(INDIRECT(AD$6))</f>
        <v>0</v>
      </c>
      <c r="AB5">
        <v>1</v>
      </c>
      <c r="AC5" t="s">
        <v>219</v>
      </c>
      <c r="AD5" t="s">
        <v>217</v>
      </c>
    </row>
    <row r="6" spans="1:30" ht="21" customHeight="1" x14ac:dyDescent="0.2">
      <c r="N6" s="284"/>
      <c r="O6" s="486" t="s">
        <v>491</v>
      </c>
      <c r="P6" s="25"/>
      <c r="Q6" s="25"/>
      <c r="R6" s="25"/>
      <c r="S6" s="25"/>
      <c r="T6" s="25"/>
      <c r="U6" s="25"/>
      <c r="V6" s="25"/>
      <c r="W6" s="26"/>
      <c r="Z6" s="100" t="s">
        <v>218</v>
      </c>
      <c r="AA6">
        <f ca="1">SUM(INDIRECT(AD$7))</f>
        <v>692375</v>
      </c>
      <c r="AB6">
        <v>2</v>
      </c>
      <c r="AC6" t="s">
        <v>104</v>
      </c>
      <c r="AD6" t="str">
        <f>"AB10..AB"&amp;FIXED(AA7,0,TRUE)</f>
        <v>AB10..AB143</v>
      </c>
    </row>
    <row r="7" spans="1:30" ht="18.75" x14ac:dyDescent="0.2">
      <c r="C7" s="485" t="s">
        <v>490</v>
      </c>
      <c r="D7" s="101"/>
      <c r="E7" s="101"/>
      <c r="F7" s="101"/>
      <c r="G7" s="101"/>
      <c r="H7" s="101"/>
      <c r="I7" s="101"/>
      <c r="N7" s="285"/>
      <c r="O7" s="283"/>
      <c r="P7" s="20"/>
      <c r="Q7" s="458" t="str">
        <f ca="1">IF(OR(AC8=0,TRUNC(AA5,-3)+TRUNC(AA6,-3)=0),"",TRUNC(AA5,-3))</f>
        <v/>
      </c>
      <c r="R7" s="21"/>
      <c r="S7" s="20"/>
      <c r="T7" s="21"/>
      <c r="U7" s="21"/>
      <c r="V7" s="21"/>
      <c r="W7" s="104"/>
      <c r="Z7" s="100" t="s">
        <v>221</v>
      </c>
      <c r="AA7" s="410">
        <v>143</v>
      </c>
      <c r="AB7">
        <v>3</v>
      </c>
      <c r="AC7" t="s">
        <v>230</v>
      </c>
      <c r="AD7" t="str">
        <f>"Z10..Z"&amp;FIXED(AA7,0,TRUE)</f>
        <v>Z10..Z143</v>
      </c>
    </row>
    <row r="8" spans="1:30" ht="18.75" customHeight="1" thickBot="1" x14ac:dyDescent="0.25">
      <c r="A8" t="b">
        <f>SUM(F13:F73)&gt;0</f>
        <v>1</v>
      </c>
      <c r="B8">
        <f ca="1">SUM(INDIRECT(AD8))</f>
        <v>2</v>
      </c>
      <c r="I8" s="111" t="str">
        <f ca="1">"( "&amp;FIXED(A8,0)&amp;" ／ "&amp;FIXED(B$8,0)&amp;" )"</f>
        <v>( 1 ／ 2 )</v>
      </c>
      <c r="N8" s="285"/>
      <c r="O8" s="283"/>
      <c r="P8" s="20"/>
      <c r="Q8" s="459">
        <f ca="1">TRUNC(AA6,-3)</f>
        <v>692000</v>
      </c>
      <c r="R8" s="21"/>
      <c r="S8" s="20"/>
      <c r="T8" s="21"/>
      <c r="U8" s="21"/>
      <c r="V8" s="21"/>
      <c r="W8" s="112" t="str">
        <f ca="1">I8</f>
        <v>( 1 ／ 2 )</v>
      </c>
      <c r="AC8">
        <f>鏡!H2-1</f>
        <v>0</v>
      </c>
      <c r="AD8" t="str">
        <f>"A5..A"&amp;FIXED(AA7,0,TRUE)</f>
        <v>A5..A143</v>
      </c>
    </row>
    <row r="9" spans="1:30" x14ac:dyDescent="0.15">
      <c r="C9" s="16"/>
      <c r="D9" s="102"/>
      <c r="E9" s="102"/>
      <c r="F9" s="18"/>
      <c r="G9" s="102"/>
      <c r="H9" s="102"/>
      <c r="I9" s="48"/>
      <c r="O9" s="756" t="s">
        <v>258</v>
      </c>
      <c r="P9" s="4"/>
      <c r="Q9" s="4"/>
      <c r="R9" s="5"/>
      <c r="S9" s="4"/>
      <c r="T9" s="14" t="s">
        <v>88</v>
      </c>
      <c r="U9" s="15"/>
      <c r="V9" s="755" t="s">
        <v>257</v>
      </c>
      <c r="W9" s="105"/>
    </row>
    <row r="10" spans="1:30"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Z10" t="str">
        <f>IF(AC8=0,"当初","出来高")</f>
        <v>当初</v>
      </c>
      <c r="AB10" t="s">
        <v>216</v>
      </c>
    </row>
    <row r="11" spans="1:30" ht="14.25" thickBot="1" x14ac:dyDescent="0.2">
      <c r="C11" s="71"/>
      <c r="D11" s="40"/>
      <c r="E11" s="40"/>
      <c r="F11" s="36"/>
      <c r="G11" s="40"/>
      <c r="H11" s="40"/>
      <c r="I11" s="52"/>
      <c r="K11" s="1" t="s">
        <v>259</v>
      </c>
      <c r="O11" s="758"/>
      <c r="P11" s="39"/>
      <c r="Q11" s="39"/>
      <c r="R11" s="40"/>
      <c r="S11" s="39"/>
      <c r="T11" s="56" t="s">
        <v>96</v>
      </c>
      <c r="U11" s="56" t="s">
        <v>96</v>
      </c>
      <c r="V11" s="750"/>
      <c r="W11" s="52"/>
    </row>
    <row r="12" spans="1:30" ht="15" customHeight="1" thickTop="1" x14ac:dyDescent="0.15">
      <c r="C12" s="182"/>
      <c r="D12" s="210"/>
      <c r="E12" s="184"/>
      <c r="F12" s="225"/>
      <c r="G12" s="297" t="str">
        <f ca="1">IF(OR(AC$8=0,L12="b"),"",IF(L12="l",0,"("&amp;FIXED(-F12,K13,0)&amp;M12))</f>
        <v/>
      </c>
      <c r="H12" s="183"/>
      <c r="I12" s="185"/>
      <c r="L12" t="str">
        <f t="shared" ref="L12:L19" ca="1" si="0">CELL("type",F12)</f>
        <v>b</v>
      </c>
      <c r="M12" t="str">
        <f>")"&amp;REPT(" ",2-K13)&amp;IF(K13=0," ","")</f>
        <v xml:space="preserve">) </v>
      </c>
      <c r="O12" s="253"/>
      <c r="P12" s="207">
        <f>D12</f>
        <v>0</v>
      </c>
      <c r="Q12" s="207">
        <f>E12</f>
        <v>0</v>
      </c>
      <c r="R12" s="300" t="str">
        <f t="shared" ref="R12:R19" ca="1" si="1">G12</f>
        <v/>
      </c>
      <c r="S12" s="304"/>
      <c r="T12" s="144"/>
      <c r="U12" s="206">
        <f ca="1">IF(OR(AC$8=0,SUM(Z13:AC13)=0),1,IF(L12="l","",SUM(AB13:AC13)))</f>
        <v>1</v>
      </c>
      <c r="V12" s="385"/>
      <c r="W12" s="50"/>
    </row>
    <row r="13" spans="1:30" ht="15" customHeight="1" x14ac:dyDescent="0.15">
      <c r="C13" s="186" t="s">
        <v>580</v>
      </c>
      <c r="D13" s="205" t="s">
        <v>43</v>
      </c>
      <c r="E13" s="188" t="s">
        <v>558</v>
      </c>
      <c r="F13" s="226">
        <v>98.3</v>
      </c>
      <c r="G13" s="296" t="str">
        <f ca="1">IF(L13="b","",IF(L13="l",0,FIXED(F13,K13,0)&amp;M13))</f>
        <v xml:space="preserve">98.3  </v>
      </c>
      <c r="H13" s="187" t="s">
        <v>229</v>
      </c>
      <c r="I13" s="189"/>
      <c r="K13" s="215">
        <v>1</v>
      </c>
      <c r="L13" t="str">
        <f t="shared" ca="1" si="0"/>
        <v>v</v>
      </c>
      <c r="M13" t="str">
        <f>REPT(" ",3-K13)&amp;IF(K13=0," ","")</f>
        <v xml:space="preserve">  </v>
      </c>
      <c r="O13" s="194"/>
      <c r="P13" s="208" t="str">
        <f>IF(ISNUMBER(D13),LOOKUP(D13,$AB$5:$AC$7),D13)</f>
        <v>ケ　ー　ブ　ル</v>
      </c>
      <c r="Q13" s="208" t="str">
        <f t="shared" ref="Q13:Q19" si="2">E13</f>
        <v>600V  EM-CE    2  ㎟ -3C</v>
      </c>
      <c r="R13" s="301" t="str">
        <f t="shared" ca="1" si="1"/>
        <v xml:space="preserve">98.3  </v>
      </c>
      <c r="S13" s="305" t="str">
        <f>H13</f>
        <v>ｍ</v>
      </c>
      <c r="T13" s="145">
        <v>156</v>
      </c>
      <c r="U13" s="216">
        <f ca="1">IF(L13="l","",IF(D13+F13&gt;0,SUM(Z13:AA13),-1))</f>
        <v>15334</v>
      </c>
      <c r="V13" s="386">
        <v>90</v>
      </c>
      <c r="W13" s="108"/>
      <c r="Z13" s="114">
        <f>IF(D13&gt;0,0,TRUNC(F13*T13+Y13*X13))</f>
        <v>15334</v>
      </c>
      <c r="AB13">
        <f ca="1">IF(OR(AC$8=0,L12="l",D13&gt;0,U13=-1),0,IF(L12="b",-U13,TRUNC(F12*T13)))</f>
        <v>0</v>
      </c>
    </row>
    <row r="14" spans="1:30" ht="15" customHeight="1" x14ac:dyDescent="0.15">
      <c r="C14" s="182"/>
      <c r="D14" s="210"/>
      <c r="E14" s="184"/>
      <c r="F14" s="225"/>
      <c r="G14" s="297" t="str">
        <f ca="1">IF(OR(AC$8=0,L14="b"),"",IF(L14="l",0,"("&amp;FIXED(-F14,K15,0)&amp;M14))</f>
        <v/>
      </c>
      <c r="H14" s="183"/>
      <c r="I14" s="185"/>
      <c r="L14" t="str">
        <f t="shared" ca="1" si="0"/>
        <v>b</v>
      </c>
      <c r="M14" t="str">
        <f>")"&amp;REPT(" ",2-K15)&amp;IF(K15=0," ","")</f>
        <v xml:space="preserve">) </v>
      </c>
      <c r="O14" s="194" t="s">
        <v>367</v>
      </c>
      <c r="P14" s="207">
        <f>D14</f>
        <v>0</v>
      </c>
      <c r="Q14" s="207">
        <f t="shared" si="2"/>
        <v>0</v>
      </c>
      <c r="R14" s="300" t="str">
        <f t="shared" ca="1" si="1"/>
        <v/>
      </c>
      <c r="S14" s="304"/>
      <c r="T14" s="144"/>
      <c r="U14" s="206">
        <f ca="1">IF(OR(AC$8=0,SUM(Z15:AC15)=0),1,IF(L14="l","",SUM(AB15:AC15)))</f>
        <v>1</v>
      </c>
      <c r="V14" s="385"/>
      <c r="W14" s="50"/>
    </row>
    <row r="15" spans="1:30" ht="15" customHeight="1" x14ac:dyDescent="0.15">
      <c r="C15" s="186"/>
      <c r="D15" s="205" t="s">
        <v>101</v>
      </c>
      <c r="E15" s="188" t="s">
        <v>559</v>
      </c>
      <c r="F15" s="226">
        <v>204.8</v>
      </c>
      <c r="G15" s="296" t="str">
        <f ca="1">IF(L15="b","",IF(L15="l",0,FIXED(F15,K15,0)&amp;M15))</f>
        <v xml:space="preserve">204.8  </v>
      </c>
      <c r="H15" s="187" t="s">
        <v>229</v>
      </c>
      <c r="I15" s="189"/>
      <c r="K15" s="215">
        <v>1</v>
      </c>
      <c r="L15" t="str">
        <f t="shared" ca="1" si="0"/>
        <v>v</v>
      </c>
      <c r="M15" t="str">
        <f>REPT(" ",3-K15)&amp;IF(K15=0," ","")</f>
        <v xml:space="preserve">  </v>
      </c>
      <c r="O15" s="194"/>
      <c r="P15" s="208" t="str">
        <f>IF(ISNUMBER(D15),LOOKUP(D15,$AB$5:$AC$7),D15)</f>
        <v>〃</v>
      </c>
      <c r="Q15" s="208" t="str">
        <f t="shared" si="2"/>
        <v>600V  EM-CE    2  ㎟ -4C</v>
      </c>
      <c r="R15" s="301" t="str">
        <f t="shared" ca="1" si="1"/>
        <v xml:space="preserve">204.8  </v>
      </c>
      <c r="S15" s="305" t="str">
        <f>H15</f>
        <v>ｍ</v>
      </c>
      <c r="T15" s="145">
        <v>187</v>
      </c>
      <c r="U15" s="216">
        <f ca="1">IF(L15="l","",IF(D15+F15&gt;0,SUM(Z15:AA15),-1))</f>
        <v>38297</v>
      </c>
      <c r="V15" s="386">
        <v>101</v>
      </c>
      <c r="W15" s="108"/>
      <c r="Z15" s="114">
        <f>IF(D15&gt;0,0,TRUNC(F15*T15+Y15*X15))</f>
        <v>38297</v>
      </c>
      <c r="AA15" t="b">
        <f>IF($D15=1,SUM(Z$13:Z13)-SUM(AA$13:AA13),IF($D15=2,$AA$6,IF($D15=3,TRUNC($AA$6,-3))))</f>
        <v>0</v>
      </c>
      <c r="AB15">
        <f ca="1">IF(OR(AC$8=0,L14="l",D15&gt;0,U15=-1),0,IF(L14="b",-U15,TRUNC(F14*T15)))</f>
        <v>0</v>
      </c>
      <c r="AC15" t="b">
        <f>IF($D15=1,SUM(AB$13:AB13)-SUM(AC$13:AC13),IF($D15=2,$AA$5,IF($D15=3,TRUNC($AA$5,-3))))</f>
        <v>0</v>
      </c>
    </row>
    <row r="16" spans="1:30" ht="15" customHeight="1" x14ac:dyDescent="0.15">
      <c r="C16" s="182"/>
      <c r="D16" s="210"/>
      <c r="E16" s="184"/>
      <c r="F16" s="225"/>
      <c r="G16" s="297" t="str">
        <f ca="1">IF(OR(AC$8=0,L16="b"),"",IF(L16="l",0,"("&amp;FIXED(-F16,K17,0)&amp;M16))</f>
        <v/>
      </c>
      <c r="H16" s="183"/>
      <c r="I16" s="185"/>
      <c r="L16" t="str">
        <f t="shared" ca="1" si="0"/>
        <v>b</v>
      </c>
      <c r="M16" t="str">
        <f>")"&amp;REPT(" ",2-K17)&amp;IF(K17=0," ","")</f>
        <v xml:space="preserve">) </v>
      </c>
      <c r="O16" s="194"/>
      <c r="P16" s="207">
        <f>D16</f>
        <v>0</v>
      </c>
      <c r="Q16" s="207">
        <f t="shared" si="2"/>
        <v>0</v>
      </c>
      <c r="R16" s="300" t="str">
        <f t="shared" ca="1" si="1"/>
        <v/>
      </c>
      <c r="S16" s="304"/>
      <c r="T16" s="144"/>
      <c r="U16" s="206">
        <f ca="1">IF(OR(AC$8=0,SUM(Z17:AC17)=0),1,IF(L16="l","",SUM(AB17:AC17)))</f>
        <v>1</v>
      </c>
      <c r="V16" s="385"/>
      <c r="W16" s="50"/>
    </row>
    <row r="17" spans="3:29" ht="15" customHeight="1" x14ac:dyDescent="0.15">
      <c r="C17" s="186"/>
      <c r="D17" s="205" t="s">
        <v>101</v>
      </c>
      <c r="E17" s="188" t="s">
        <v>560</v>
      </c>
      <c r="F17" s="226">
        <v>19.8</v>
      </c>
      <c r="G17" s="296" t="str">
        <f ca="1">IF(L17="b","",IF(L17="l",0,FIXED(F17,K17,0)&amp;M17))</f>
        <v xml:space="preserve">19.8  </v>
      </c>
      <c r="H17" s="187" t="s">
        <v>229</v>
      </c>
      <c r="I17" s="189"/>
      <c r="K17" s="215">
        <v>1</v>
      </c>
      <c r="L17" t="str">
        <f t="shared" ca="1" si="0"/>
        <v>v</v>
      </c>
      <c r="M17" t="str">
        <f>REPT(" ",3-K17)&amp;IF(K17=0," ","")</f>
        <v xml:space="preserve">  </v>
      </c>
      <c r="O17" s="194"/>
      <c r="P17" s="208" t="str">
        <f>IF(ISNUMBER(D17),LOOKUP(D17,$AB$5:$AC$7),D17)</f>
        <v>〃</v>
      </c>
      <c r="Q17" s="208" t="str">
        <f t="shared" si="2"/>
        <v>600V  EM-CE    3.5㎟ -3C</v>
      </c>
      <c r="R17" s="301" t="str">
        <f t="shared" ca="1" si="1"/>
        <v xml:space="preserve">19.8  </v>
      </c>
      <c r="S17" s="305" t="str">
        <f>H17</f>
        <v>ｍ</v>
      </c>
      <c r="T17" s="145">
        <v>217</v>
      </c>
      <c r="U17" s="216">
        <f ca="1">IF(L17="l","",IF(D17+F17&gt;0,SUM(Z17:AA17),-1))</f>
        <v>4296</v>
      </c>
      <c r="V17" s="386">
        <v>91</v>
      </c>
      <c r="W17" s="108"/>
      <c r="Z17" s="114">
        <f>IF(D17&gt;0,0,TRUNC(F17*T17+Y17*X17))</f>
        <v>4296</v>
      </c>
      <c r="AA17" t="b">
        <f>IF($D17=1,SUM(Z$13:Z15)-SUM(AA$13:AA15),IF($D17=2,$AA$6,IF($D17=3,TRUNC($AA$6,-3))))</f>
        <v>0</v>
      </c>
      <c r="AB17">
        <f ca="1">IF(OR(AC$8=0,L16="l",D17&gt;0,U17=-1),0,IF(L16="b",-U17,TRUNC(F16*T17)))</f>
        <v>0</v>
      </c>
      <c r="AC17" t="b">
        <f>IF($D17=1,SUM(AB$13:AB15)-SUM(AC$13:AC15),IF($D17=2,$AA$5,IF($D17=3,TRUNC($AA$5,-3))))</f>
        <v>0</v>
      </c>
    </row>
    <row r="18" spans="3:29" ht="15" customHeight="1" x14ac:dyDescent="0.15">
      <c r="C18" s="182"/>
      <c r="D18" s="210"/>
      <c r="E18" s="184"/>
      <c r="F18" s="225"/>
      <c r="G18" s="297" t="str">
        <f ca="1">IF(OR(AC$8=0,L18="b"),"",IF(L18="l",0,"("&amp;FIXED(-F18,K19,0)&amp;M18))</f>
        <v/>
      </c>
      <c r="H18" s="183"/>
      <c r="I18" s="185"/>
      <c r="L18" t="str">
        <f t="shared" ca="1" si="0"/>
        <v>b</v>
      </c>
      <c r="M18" t="str">
        <f>")"&amp;REPT(" ",2-K19)&amp;IF(K19=0," ","")</f>
        <v xml:space="preserve">) </v>
      </c>
      <c r="O18" s="463" t="s">
        <v>368</v>
      </c>
      <c r="P18" s="207">
        <f>D18</f>
        <v>0</v>
      </c>
      <c r="Q18" s="207">
        <f t="shared" si="2"/>
        <v>0</v>
      </c>
      <c r="R18" s="300" t="str">
        <f t="shared" ca="1" si="1"/>
        <v/>
      </c>
      <c r="S18" s="304"/>
      <c r="T18" s="144"/>
      <c r="U18" s="206">
        <f ca="1">IF(OR(AC$8=0,SUM(Z19:AC19)=0),1,IF(L18="l","",SUM(AB19:AC19)))</f>
        <v>1</v>
      </c>
      <c r="V18" s="385"/>
      <c r="W18" s="50"/>
    </row>
    <row r="19" spans="3:29" ht="15" customHeight="1" x14ac:dyDescent="0.15">
      <c r="C19" s="186"/>
      <c r="D19" s="205" t="s">
        <v>101</v>
      </c>
      <c r="E19" s="188" t="s">
        <v>561</v>
      </c>
      <c r="F19" s="226">
        <v>221.7</v>
      </c>
      <c r="G19" s="296" t="str">
        <f ca="1">IF(L19="b","",IF(L19="l",0,FIXED(F19,K19,0)&amp;M19))</f>
        <v xml:space="preserve">221.7  </v>
      </c>
      <c r="H19" s="187" t="s">
        <v>229</v>
      </c>
      <c r="I19" s="189"/>
      <c r="K19" s="215">
        <v>1</v>
      </c>
      <c r="L19" t="str">
        <f t="shared" ca="1" si="0"/>
        <v>v</v>
      </c>
      <c r="M19" t="str">
        <f>REPT(" ",3-K19)&amp;IF(K19=0," ","")</f>
        <v xml:space="preserve">  </v>
      </c>
      <c r="O19" s="194"/>
      <c r="P19" s="208" t="str">
        <f>IF(ISNUMBER(D19),LOOKUP(D19,$AB$5:$AC$7),D19)</f>
        <v>〃</v>
      </c>
      <c r="Q19" s="208" t="str">
        <f t="shared" si="2"/>
        <v>600V  EM-CE    3.5㎟ -4C</v>
      </c>
      <c r="R19" s="301" t="str">
        <f t="shared" ca="1" si="1"/>
        <v xml:space="preserve">221.7  </v>
      </c>
      <c r="S19" s="305" t="str">
        <f>H19</f>
        <v>ｍ</v>
      </c>
      <c r="T19" s="145">
        <v>272</v>
      </c>
      <c r="U19" s="216">
        <f ca="1">IF(L19="l","",IF(D19+F19&gt;0,SUM(Z19:AA19),-1))</f>
        <v>60302</v>
      </c>
      <c r="V19" s="386">
        <v>102</v>
      </c>
      <c r="W19" s="108"/>
      <c r="Z19" s="114">
        <f>IF(D19&gt;0,0,TRUNC(F19*T19+Y19*X19))</f>
        <v>60302</v>
      </c>
      <c r="AA19" t="b">
        <f>IF($D19=1,SUM(Z$13:Z17)-SUM(AA$13:AA17),IF($D19=2,$AA$6,IF($D19=3,TRUNC($AA$6,-3))))</f>
        <v>0</v>
      </c>
      <c r="AB19">
        <f ca="1">IF(OR(AC$8=0,L18="l",D19&gt;0,U19=-1),0,IF(L18="b",-U19,TRUNC(F18*T19)))</f>
        <v>0</v>
      </c>
      <c r="AC19" t="b">
        <f>IF($D19=1,SUM(AB$13:AB17)-SUM(AC$13:AC17),IF($D19=2,$AA$5,IF($D19=3,TRUNC($AA$5,-3))))</f>
        <v>0</v>
      </c>
    </row>
    <row r="20" spans="3:29" ht="15" customHeight="1" x14ac:dyDescent="0.15">
      <c r="C20" s="182"/>
      <c r="D20" s="210"/>
      <c r="E20" s="184"/>
      <c r="F20" s="225"/>
      <c r="G20" s="297" t="str">
        <f ca="1">IF(OR(AC$8=0,L20="b"),"",IF(L20="l",0,"("&amp;FIXED(-F20,K21,0)&amp;M20))</f>
        <v/>
      </c>
      <c r="H20" s="183"/>
      <c r="I20" s="185"/>
      <c r="L20" t="str">
        <f t="shared" ref="L20:L27" ca="1" si="3">CELL("type",F20)</f>
        <v>b</v>
      </c>
      <c r="M20" t="str">
        <f>")"&amp;REPT(" ",2-K21)&amp;IF(K21=0," ","")</f>
        <v xml:space="preserve">) </v>
      </c>
      <c r="O20" s="463"/>
      <c r="P20" s="207">
        <f>D20</f>
        <v>0</v>
      </c>
      <c r="Q20" s="207">
        <f>E20</f>
        <v>0</v>
      </c>
      <c r="R20" s="300" t="str">
        <f t="shared" ref="R20:R27" ca="1" si="4">G20</f>
        <v/>
      </c>
      <c r="S20" s="304"/>
      <c r="T20" s="144"/>
      <c r="U20" s="206">
        <f ca="1">IF(OR(AC$8=0,SUM(Z21:AC21)=0),1,IF(L20="l","",SUM(AB21:AC21)))</f>
        <v>1</v>
      </c>
      <c r="V20" s="385"/>
      <c r="W20" s="50"/>
    </row>
    <row r="21" spans="3:29" ht="15" customHeight="1" x14ac:dyDescent="0.15">
      <c r="C21" s="186"/>
      <c r="D21" s="205" t="s">
        <v>101</v>
      </c>
      <c r="E21" s="188" t="s">
        <v>562</v>
      </c>
      <c r="F21" s="226">
        <v>64.3</v>
      </c>
      <c r="G21" s="296" t="str">
        <f ca="1">IF(L21="b","",IF(L21="l",0,FIXED(F21,K21,0)&amp;M21))</f>
        <v xml:space="preserve">64.3  </v>
      </c>
      <c r="H21" s="187" t="s">
        <v>229</v>
      </c>
      <c r="I21" s="189"/>
      <c r="K21" s="215">
        <v>1</v>
      </c>
      <c r="L21" t="str">
        <f t="shared" ca="1" si="3"/>
        <v>v</v>
      </c>
      <c r="M21" t="str">
        <f>REPT(" ",3-K21)&amp;IF(K21=0," ","")</f>
        <v xml:space="preserve">  </v>
      </c>
      <c r="O21" s="194"/>
      <c r="P21" s="208" t="str">
        <f>IF(ISNUMBER(D21),LOOKUP(D21,$AB$5:$AC$7),D21)</f>
        <v>〃</v>
      </c>
      <c r="Q21" s="208" t="str">
        <f t="shared" ref="Q21:Q27" si="5">E21</f>
        <v>600V  EM-CE    5.5㎟ -4C</v>
      </c>
      <c r="R21" s="301" t="str">
        <f t="shared" ca="1" si="4"/>
        <v xml:space="preserve">64.3  </v>
      </c>
      <c r="S21" s="305" t="str">
        <f>H21</f>
        <v>ｍ</v>
      </c>
      <c r="T21" s="145">
        <v>374</v>
      </c>
      <c r="U21" s="216">
        <f ca="1">IF(L21="l","",IF(D21+F21&gt;0,SUM(Z21:AA21),-1))</f>
        <v>24048</v>
      </c>
      <c r="V21" s="386">
        <v>103</v>
      </c>
      <c r="W21" s="108"/>
      <c r="Z21" s="114">
        <f>IF(D21&gt;0,0,TRUNC(F21*T21+Y21*X21))</f>
        <v>24048</v>
      </c>
      <c r="AA21" t="b">
        <f>IF($D21=1,SUM(Z$13:Z19)-SUM(AA$13:AA19),IF($D21=2,$AA$6,IF($D21=3,TRUNC($AA$6,-3))))</f>
        <v>0</v>
      </c>
      <c r="AB21">
        <f ca="1">IF(OR(AC$8=0,L20="l",D21&gt;0,U21=-1),0,IF(L20="b",-U21,TRUNC(F20*T21)))</f>
        <v>0</v>
      </c>
      <c r="AC21" t="b">
        <f>IF($D21=1,SUM(AB$13:AB19)-SUM(AC$13:AC19),IF($D21=2,$AA$5,IF($D21=3,TRUNC($AA$5,-3))))</f>
        <v>0</v>
      </c>
    </row>
    <row r="22" spans="3:29" ht="15" customHeight="1" x14ac:dyDescent="0.15">
      <c r="C22" s="182"/>
      <c r="D22" s="210"/>
      <c r="E22" s="184"/>
      <c r="F22" s="225"/>
      <c r="G22" s="297" t="str">
        <f ca="1">IF(OR(AC$8=0,L22="b"),"",IF(L22="l",0,"("&amp;FIXED(-F22,K23,0)&amp;M22))</f>
        <v/>
      </c>
      <c r="H22" s="183"/>
      <c r="I22" s="185"/>
      <c r="L22" t="str">
        <f t="shared" ca="1" si="3"/>
        <v>b</v>
      </c>
      <c r="M22" t="str">
        <f>")"&amp;REPT(" ",2-K23)&amp;IF(K23=0," ","")</f>
        <v xml:space="preserve">) </v>
      </c>
      <c r="O22" s="463" t="s">
        <v>369</v>
      </c>
      <c r="P22" s="207">
        <f>D22</f>
        <v>0</v>
      </c>
      <c r="Q22" s="207">
        <f t="shared" si="5"/>
        <v>0</v>
      </c>
      <c r="R22" s="300" t="str">
        <f t="shared" ca="1" si="4"/>
        <v/>
      </c>
      <c r="S22" s="304"/>
      <c r="T22" s="144"/>
      <c r="U22" s="206">
        <f ca="1">IF(OR(AC$8=0,SUM(Z23:AC23)=0),1,IF(L22="l","",SUM(AB23:AC23)))</f>
        <v>1</v>
      </c>
      <c r="V22" s="385"/>
      <c r="W22" s="50"/>
    </row>
    <row r="23" spans="3:29" ht="15" customHeight="1" x14ac:dyDescent="0.15">
      <c r="C23" s="186"/>
      <c r="D23" s="205" t="s">
        <v>101</v>
      </c>
      <c r="E23" s="188" t="s">
        <v>563</v>
      </c>
      <c r="F23" s="226">
        <v>74.7</v>
      </c>
      <c r="G23" s="296" t="str">
        <f ca="1">IF(L23="b","",IF(L23="l",0,FIXED(F23,K23,0)&amp;M23))</f>
        <v xml:space="preserve">74.7  </v>
      </c>
      <c r="H23" s="187" t="s">
        <v>229</v>
      </c>
      <c r="I23" s="189"/>
      <c r="K23" s="215">
        <v>1</v>
      </c>
      <c r="L23" t="str">
        <f t="shared" ca="1" si="3"/>
        <v>v</v>
      </c>
      <c r="M23" t="str">
        <f>REPT(" ",3-K23)&amp;IF(K23=0," ","")</f>
        <v xml:space="preserve">  </v>
      </c>
      <c r="O23" s="194"/>
      <c r="P23" s="208" t="str">
        <f>IF(ISNUMBER(D23),LOOKUP(D23,$AB$5:$AC$7),D23)</f>
        <v>〃</v>
      </c>
      <c r="Q23" s="208" t="str">
        <f t="shared" si="5"/>
        <v>600V  EM-CE    8  ㎟ -4C</v>
      </c>
      <c r="R23" s="301" t="str">
        <f t="shared" ca="1" si="4"/>
        <v xml:space="preserve">74.7  </v>
      </c>
      <c r="S23" s="305" t="str">
        <f>H23</f>
        <v>ｍ</v>
      </c>
      <c r="T23" s="145">
        <v>492</v>
      </c>
      <c r="U23" s="216">
        <f ca="1">IF(L23="l","",IF(D23+F23&gt;0,SUM(Z23:AA23),-1))</f>
        <v>36752</v>
      </c>
      <c r="V23" s="386">
        <v>104</v>
      </c>
      <c r="W23" s="108"/>
      <c r="Z23" s="114">
        <f>IF(D23&gt;0,0,TRUNC(F23*T23+Y23*X23))</f>
        <v>36752</v>
      </c>
      <c r="AA23" t="b">
        <f>IF($D23=1,SUM(Z$13:Z21)-SUM(AA$13:AA21),IF($D23=2,$AA$6,IF($D23=3,TRUNC($AA$6,-3))))</f>
        <v>0</v>
      </c>
      <c r="AB23">
        <f ca="1">IF(OR(AC$8=0,L22="l",D23&gt;0,U23=-1),0,IF(L22="b",-U23,TRUNC(F22*T23)))</f>
        <v>0</v>
      </c>
      <c r="AC23" t="b">
        <f>IF($D23=1,SUM(AB$13:AB21)-SUM(AC$13:AC21),IF($D23=2,$AA$5,IF($D23=3,TRUNC($AA$5,-3))))</f>
        <v>0</v>
      </c>
    </row>
    <row r="24" spans="3:29" ht="15" customHeight="1" x14ac:dyDescent="0.15">
      <c r="C24" s="182"/>
      <c r="D24" s="210"/>
      <c r="E24" s="184"/>
      <c r="F24" s="225"/>
      <c r="G24" s="297" t="str">
        <f ca="1">IF(OR(AC$8=0,L24="b"),"",IF(L24="l",0,"("&amp;FIXED(-F24,K25,0)&amp;M24))</f>
        <v/>
      </c>
      <c r="H24" s="183"/>
      <c r="I24" s="185"/>
      <c r="L24" t="str">
        <f t="shared" ca="1" si="3"/>
        <v>b</v>
      </c>
      <c r="M24" t="str">
        <f>")"&amp;REPT(" ",2-K25)&amp;IF(K25=0," ","")</f>
        <v xml:space="preserve">) </v>
      </c>
      <c r="O24" s="194"/>
      <c r="P24" s="207">
        <f>D24</f>
        <v>0</v>
      </c>
      <c r="Q24" s="207">
        <f t="shared" si="5"/>
        <v>0</v>
      </c>
      <c r="R24" s="300" t="str">
        <f t="shared" ca="1" si="4"/>
        <v/>
      </c>
      <c r="S24" s="304"/>
      <c r="T24" s="144"/>
      <c r="U24" s="206">
        <f ca="1">IF(OR(AC$8=0,SUM(Z25:AC25)=0),1,IF(L24="l","",SUM(AB25:AC25)))</f>
        <v>1</v>
      </c>
      <c r="V24" s="385"/>
      <c r="W24" s="50"/>
    </row>
    <row r="25" spans="3:29" ht="15" customHeight="1" x14ac:dyDescent="0.15">
      <c r="C25" s="186"/>
      <c r="D25" s="205" t="s">
        <v>101</v>
      </c>
      <c r="E25" s="188" t="s">
        <v>564</v>
      </c>
      <c r="F25" s="226">
        <v>28.9</v>
      </c>
      <c r="G25" s="296" t="str">
        <f ca="1">IF(L25="b","",IF(L25="l",0,FIXED(F25,K25,0)&amp;M25))</f>
        <v xml:space="preserve">28.9  </v>
      </c>
      <c r="H25" s="187" t="s">
        <v>229</v>
      </c>
      <c r="I25" s="189"/>
      <c r="K25" s="215">
        <v>1</v>
      </c>
      <c r="L25" t="str">
        <f t="shared" ca="1" si="3"/>
        <v>v</v>
      </c>
      <c r="M25" t="str">
        <f>REPT(" ",3-K25)&amp;IF(K25=0," ","")</f>
        <v xml:space="preserve">  </v>
      </c>
      <c r="O25" s="194"/>
      <c r="P25" s="208" t="str">
        <f>IF(ISNUMBER(D25),LOOKUP(D25,$AB$5:$AC$7),D25)</f>
        <v>〃</v>
      </c>
      <c r="Q25" s="208" t="str">
        <f t="shared" si="5"/>
        <v>600V  EM-CE   14  ㎟ -3C</v>
      </c>
      <c r="R25" s="301" t="str">
        <f t="shared" ca="1" si="4"/>
        <v xml:space="preserve">28.9  </v>
      </c>
      <c r="S25" s="305" t="str">
        <f>H25</f>
        <v>ｍ</v>
      </c>
      <c r="T25" s="145">
        <v>571</v>
      </c>
      <c r="U25" s="216">
        <f ca="1">IF(L25="l","",IF(D25+F25&gt;0,SUM(Z25:AA25),-1))</f>
        <v>16501</v>
      </c>
      <c r="V25" s="386">
        <v>94</v>
      </c>
      <c r="W25" s="108"/>
      <c r="Z25" s="114">
        <f>IF(D25&gt;0,0,TRUNC(F25*T25+Y25*X25))</f>
        <v>16501</v>
      </c>
      <c r="AA25" t="b">
        <f>IF($D25=1,SUM(Z$13:Z23)-SUM(AA$13:AA23),IF($D25=2,$AA$6,IF($D25=3,TRUNC($AA$6,-3))))</f>
        <v>0</v>
      </c>
      <c r="AB25">
        <f ca="1">IF(OR(AC$8=0,L24="l",D25&gt;0,U25=-1),0,IF(L24="b",-U25,TRUNC(F24*T25)))</f>
        <v>0</v>
      </c>
      <c r="AC25" t="b">
        <f>IF($D25=1,SUM(AB$13:AB23)-SUM(AC$13:AC23),IF($D25=2,$AA$5,IF($D25=3,TRUNC($AA$5,-3))))</f>
        <v>0</v>
      </c>
    </row>
    <row r="26" spans="3:29" ht="15" customHeight="1" x14ac:dyDescent="0.15">
      <c r="C26" s="182"/>
      <c r="D26" s="210"/>
      <c r="E26" s="184"/>
      <c r="F26" s="225"/>
      <c r="G26" s="297" t="str">
        <f ca="1">IF(OR(AC$8=0,L26="b"),"",IF(L26="l",0,"("&amp;FIXED(-F26,K27,0)&amp;M26))</f>
        <v/>
      </c>
      <c r="H26" s="183"/>
      <c r="I26" s="185"/>
      <c r="L26" t="str">
        <f t="shared" ca="1" si="3"/>
        <v>b</v>
      </c>
      <c r="M26" t="str">
        <f>")"&amp;REPT(" ",2-K27)&amp;IF(K27=0," ","")</f>
        <v xml:space="preserve">) </v>
      </c>
      <c r="O26" s="463" t="s">
        <v>370</v>
      </c>
      <c r="P26" s="207">
        <f>D26</f>
        <v>0</v>
      </c>
      <c r="Q26" s="207">
        <f t="shared" si="5"/>
        <v>0</v>
      </c>
      <c r="R26" s="300" t="str">
        <f t="shared" ca="1" si="4"/>
        <v/>
      </c>
      <c r="S26" s="304"/>
      <c r="T26" s="144"/>
      <c r="U26" s="206">
        <f ca="1">IF(OR(AC$8=0,SUM(Z27:AC27)=0),1,IF(L26="l","",SUM(AB27:AC27)))</f>
        <v>1</v>
      </c>
      <c r="V26" s="385"/>
      <c r="W26" s="50"/>
    </row>
    <row r="27" spans="3:29" ht="15" customHeight="1" x14ac:dyDescent="0.15">
      <c r="C27" s="186"/>
      <c r="D27" s="205" t="s">
        <v>101</v>
      </c>
      <c r="E27" s="188" t="s">
        <v>565</v>
      </c>
      <c r="F27" s="226">
        <v>109.1</v>
      </c>
      <c r="G27" s="296" t="str">
        <f ca="1">IF(L27="b","",IF(L27="l",0,FIXED(F27,K27,0)&amp;M27))</f>
        <v xml:space="preserve">109.1  </v>
      </c>
      <c r="H27" s="187" t="s">
        <v>229</v>
      </c>
      <c r="I27" s="189"/>
      <c r="K27" s="215">
        <v>1</v>
      </c>
      <c r="L27" t="str">
        <f t="shared" ca="1" si="3"/>
        <v>v</v>
      </c>
      <c r="M27" t="str">
        <f>REPT(" ",3-K27)&amp;IF(K27=0," ","")</f>
        <v xml:space="preserve">  </v>
      </c>
      <c r="O27" s="194"/>
      <c r="P27" s="208" t="str">
        <f>IF(ISNUMBER(D27),LOOKUP(D27,$AB$5:$AC$7),D27)</f>
        <v>〃</v>
      </c>
      <c r="Q27" s="208" t="str">
        <f t="shared" si="5"/>
        <v xml:space="preserve">      EM-CEE   2  ㎟ -2C</v>
      </c>
      <c r="R27" s="301" t="str">
        <f t="shared" ca="1" si="4"/>
        <v xml:space="preserve">109.1  </v>
      </c>
      <c r="S27" s="305" t="str">
        <f>H27</f>
        <v>ｍ</v>
      </c>
      <c r="T27" s="145">
        <v>126</v>
      </c>
      <c r="U27" s="216">
        <f ca="1">IF(L27="l","",IF(D27+F27&gt;0,SUM(Z27:AA27),-1))</f>
        <v>13746</v>
      </c>
      <c r="V27" s="386">
        <v>121</v>
      </c>
      <c r="W27" s="108"/>
      <c r="Z27" s="114">
        <f>IF(D27&gt;0,0,TRUNC(F27*T27+Y27*X27))</f>
        <v>13746</v>
      </c>
      <c r="AA27" t="b">
        <f>IF($D27=1,SUM(Z$13:Z25)-SUM(AA$13:AA25),IF($D27=2,$AA$6,IF($D27=3,TRUNC($AA$6,-3))))</f>
        <v>0</v>
      </c>
      <c r="AB27">
        <f ca="1">IF(OR(AC$8=0,L26="l",D27&gt;0,U27=-1),0,IF(L26="b",-U27,TRUNC(F26*T27)))</f>
        <v>0</v>
      </c>
      <c r="AC27" t="b">
        <f>IF($D27=1,SUM(AB$13:AB25)-SUM(AC$13:AC25),IF($D27=2,$AA$5,IF($D27=3,TRUNC($AA$5,-3))))</f>
        <v>0</v>
      </c>
    </row>
    <row r="28" spans="3:29" ht="15" customHeight="1" x14ac:dyDescent="0.15">
      <c r="C28" s="182"/>
      <c r="D28" s="210"/>
      <c r="E28" s="184"/>
      <c r="F28" s="227"/>
      <c r="G28" s="297" t="str">
        <f ca="1">IF(OR(AC$8=0,L28="b"),"",IF(L28="l",0,"("&amp;FIXED(-F28,K29,0)&amp;M28))</f>
        <v/>
      </c>
      <c r="H28" s="183"/>
      <c r="I28" s="185"/>
      <c r="L28" t="str">
        <f t="shared" ref="L28:L59" ca="1" si="6">CELL("type",F28)</f>
        <v>b</v>
      </c>
      <c r="M28" t="str">
        <f>")"&amp;REPT(" ",2-K29)&amp;IF(K29=0," ","")</f>
        <v xml:space="preserve">) </v>
      </c>
      <c r="O28" s="463"/>
      <c r="P28" s="207">
        <f>D28</f>
        <v>0</v>
      </c>
      <c r="Q28" s="207">
        <f t="shared" ref="Q28:Q59" si="7">E28</f>
        <v>0</v>
      </c>
      <c r="R28" s="300" t="str">
        <f t="shared" ref="R28:R59" ca="1" si="8">G28</f>
        <v/>
      </c>
      <c r="S28" s="304"/>
      <c r="T28" s="144"/>
      <c r="U28" s="206">
        <f ca="1">IF(OR(AC$8=0,SUM(Z29:AC29)=0),1,IF(L28="l","",SUM(AB29:AC29)))</f>
        <v>1</v>
      </c>
      <c r="V28" s="385"/>
      <c r="W28" s="50"/>
    </row>
    <row r="29" spans="3:29" ht="15" customHeight="1" x14ac:dyDescent="0.15">
      <c r="C29" s="186"/>
      <c r="D29" s="205" t="s">
        <v>101</v>
      </c>
      <c r="E29" s="188" t="s">
        <v>566</v>
      </c>
      <c r="F29" s="226">
        <v>54.3</v>
      </c>
      <c r="G29" s="296" t="str">
        <f ca="1">IF(L29="b","",IF(L29="l",0,FIXED(F29,K29,0)&amp;M29))</f>
        <v xml:space="preserve">54.3  </v>
      </c>
      <c r="H29" s="187" t="s">
        <v>229</v>
      </c>
      <c r="I29" s="189"/>
      <c r="K29" s="215">
        <v>1</v>
      </c>
      <c r="L29" t="str">
        <f t="shared" ca="1" si="6"/>
        <v>v</v>
      </c>
      <c r="M29" t="str">
        <f>REPT(" ",3-K29)&amp;IF(K29=0," ","")</f>
        <v xml:space="preserve">  </v>
      </c>
      <c r="O29" s="194"/>
      <c r="P29" s="208" t="str">
        <f>IF(ISNUMBER(D29),LOOKUP(D29,$AB$5:$AC$7),D29)</f>
        <v>〃</v>
      </c>
      <c r="Q29" s="208" t="str">
        <f t="shared" si="7"/>
        <v xml:space="preserve">      EM-CEE   2  ㎟ -3C</v>
      </c>
      <c r="R29" s="301" t="str">
        <f t="shared" ca="1" si="8"/>
        <v xml:space="preserve">54.3  </v>
      </c>
      <c r="S29" s="305" t="str">
        <f>H29</f>
        <v>ｍ</v>
      </c>
      <c r="T29" s="145">
        <v>157</v>
      </c>
      <c r="U29" s="216">
        <f ca="1">IF(L29="l","",IF(D29+F29&gt;0,SUM(Z29:AA29),-1))</f>
        <v>8525</v>
      </c>
      <c r="V29" s="386">
        <v>122</v>
      </c>
      <c r="W29" s="108"/>
      <c r="Z29" s="114">
        <f>IF(D29&gt;0,0,TRUNC(F29*T29+Y29*X29))</f>
        <v>8525</v>
      </c>
      <c r="AA29" t="b">
        <f>IF($D29=1,SUM(Z$13:Z27)-SUM(AA$13:AA27),IF($D29=2,$AA$6,IF($D29=3,TRUNC($AA$6,-3))))</f>
        <v>0</v>
      </c>
      <c r="AB29">
        <f ca="1">IF(OR(AC$8=0,L28="l",D29&gt;0,U29=-1),0,IF(L28="b",-U29,TRUNC(F28*T29)))</f>
        <v>0</v>
      </c>
      <c r="AC29" t="b">
        <f>IF($D29=1,SUM(AB$13:AB27)-SUM(AC$13:AC27),IF($D29=2,$AA$5,IF($D29=3,TRUNC($AA$5,-3))))</f>
        <v>0</v>
      </c>
    </row>
    <row r="30" spans="3:29" ht="15" customHeight="1" x14ac:dyDescent="0.15">
      <c r="C30" s="182"/>
      <c r="D30" s="210"/>
      <c r="E30" s="184"/>
      <c r="F30" s="227"/>
      <c r="G30" s="297" t="str">
        <f ca="1">IF(OR(AC$8=0,L30="b"),"",IF(L30="l",0,"("&amp;FIXED(-F30,K31,0)&amp;M30))</f>
        <v/>
      </c>
      <c r="H30" s="183"/>
      <c r="I30" s="185"/>
      <c r="L30" t="str">
        <f t="shared" ca="1" si="6"/>
        <v>b</v>
      </c>
      <c r="M30" t="str">
        <f>")"&amp;REPT(" ",2-K31)&amp;IF(K31=0," ","")</f>
        <v xml:space="preserve">) </v>
      </c>
      <c r="O30" s="463"/>
      <c r="P30" s="207">
        <f>D30</f>
        <v>0</v>
      </c>
      <c r="Q30" s="207">
        <f t="shared" si="7"/>
        <v>0</v>
      </c>
      <c r="R30" s="300" t="str">
        <f t="shared" ca="1" si="8"/>
        <v/>
      </c>
      <c r="S30" s="304"/>
      <c r="T30" s="144"/>
      <c r="U30" s="206">
        <f ca="1">IF(OR(AC$8=0,SUM(Z31:AC31)=0),1,IF(L30="l","",SUM(AB31:AC31)))</f>
        <v>1</v>
      </c>
      <c r="V30" s="385"/>
      <c r="W30" s="50"/>
    </row>
    <row r="31" spans="3:29" ht="15" customHeight="1" x14ac:dyDescent="0.15">
      <c r="C31" s="186"/>
      <c r="D31" s="205" t="s">
        <v>101</v>
      </c>
      <c r="E31" s="188" t="s">
        <v>541</v>
      </c>
      <c r="F31" s="226">
        <v>54.7</v>
      </c>
      <c r="G31" s="296" t="str">
        <f ca="1">IF(L31="b","",IF(L31="l",0,FIXED(F31,K31,0)&amp;M31))</f>
        <v xml:space="preserve">54.7  </v>
      </c>
      <c r="H31" s="187" t="s">
        <v>229</v>
      </c>
      <c r="I31" s="189"/>
      <c r="K31" s="215">
        <v>1</v>
      </c>
      <c r="L31" t="str">
        <f t="shared" ca="1" si="6"/>
        <v>v</v>
      </c>
      <c r="M31" t="str">
        <f>REPT(" ",3-K31)&amp;IF(K31=0," ","")</f>
        <v xml:space="preserve">  </v>
      </c>
      <c r="O31" s="194"/>
      <c r="P31" s="208" t="str">
        <f>IF(ISNUMBER(D31),LOOKUP(D31,$AB$5:$AC$7),D31)</f>
        <v>〃</v>
      </c>
      <c r="Q31" s="208" t="str">
        <f t="shared" si="7"/>
        <v xml:space="preserve">      EM-CEE   2  ㎟ -4C</v>
      </c>
      <c r="R31" s="301" t="str">
        <f t="shared" ca="1" si="8"/>
        <v xml:space="preserve">54.7  </v>
      </c>
      <c r="S31" s="305" t="str">
        <f>H31</f>
        <v>ｍ</v>
      </c>
      <c r="T31" s="145">
        <v>203</v>
      </c>
      <c r="U31" s="216">
        <f ca="1">IF(L31="l","",IF(D31+F31&gt;0,SUM(Z31:AA31),-1))</f>
        <v>11104</v>
      </c>
      <c r="V31" s="386">
        <v>123</v>
      </c>
      <c r="W31" s="108"/>
      <c r="Z31" s="114">
        <f>IF(D31&gt;0,0,TRUNC(F31*T31+Y31*X31))</f>
        <v>11104</v>
      </c>
      <c r="AA31" t="b">
        <f>IF($D31=1,SUM(Z$13:Z29)-SUM(AA$13:AA29),IF($D31=2,$AA$6,IF($D31=3,TRUNC($AA$6,-3))))</f>
        <v>0</v>
      </c>
      <c r="AB31">
        <f ca="1">IF(OR(AC$8=0,L30="l",D31&gt;0,U31=-1),0,IF(L30="b",-U31,TRUNC(F30*T31)))</f>
        <v>0</v>
      </c>
      <c r="AC31" t="b">
        <f>IF($D31=1,SUM(AB$13:AB29)-SUM(AC$13:AC29),IF($D31=2,$AA$5,IF($D31=3,TRUNC($AA$5,-3))))</f>
        <v>0</v>
      </c>
    </row>
    <row r="32" spans="3:29" ht="15" customHeight="1" x14ac:dyDescent="0.15">
      <c r="C32" s="182"/>
      <c r="D32" s="210"/>
      <c r="E32" s="184"/>
      <c r="F32" s="227"/>
      <c r="G32" s="297" t="str">
        <f ca="1">IF(OR(AC$8=0,L32="b"),"",IF(L32="l",0,"("&amp;FIXED(-F32,K33,0)&amp;M32))</f>
        <v/>
      </c>
      <c r="H32" s="183"/>
      <c r="I32" s="185"/>
      <c r="L32" t="str">
        <f t="shared" ca="1" si="6"/>
        <v>b</v>
      </c>
      <c r="M32" t="str">
        <f>")"&amp;REPT(" ",2-K33)&amp;IF(K33=0," ","")</f>
        <v xml:space="preserve">) </v>
      </c>
      <c r="O32" s="463"/>
      <c r="P32" s="207">
        <f>D32</f>
        <v>0</v>
      </c>
      <c r="Q32" s="207">
        <f t="shared" si="7"/>
        <v>0</v>
      </c>
      <c r="R32" s="300" t="str">
        <f t="shared" ca="1" si="8"/>
        <v/>
      </c>
      <c r="S32" s="304"/>
      <c r="T32" s="144"/>
      <c r="U32" s="206">
        <f ca="1">IF(OR(AC$8=0,SUM(Z33:AC33)=0),1,IF(L32="l","",SUM(AB33:AC33)))</f>
        <v>1</v>
      </c>
      <c r="V32" s="385"/>
      <c r="W32" s="50"/>
    </row>
    <row r="33" spans="3:29" ht="15" customHeight="1" x14ac:dyDescent="0.15">
      <c r="C33" s="186"/>
      <c r="D33" s="205" t="s">
        <v>101</v>
      </c>
      <c r="E33" s="188" t="s">
        <v>567</v>
      </c>
      <c r="F33" s="226">
        <v>20.7</v>
      </c>
      <c r="G33" s="296" t="str">
        <f ca="1">IF(L33="b","",IF(L33="l",0,FIXED(F33,K33,0)&amp;M33))</f>
        <v xml:space="preserve">20.7  </v>
      </c>
      <c r="H33" s="187" t="s">
        <v>229</v>
      </c>
      <c r="I33" s="189"/>
      <c r="K33" s="215">
        <v>1</v>
      </c>
      <c r="L33" t="str">
        <f t="shared" ca="1" si="6"/>
        <v>v</v>
      </c>
      <c r="M33" t="str">
        <f>REPT(" ",3-K33)&amp;IF(K33=0," ","")</f>
        <v xml:space="preserve">  </v>
      </c>
      <c r="O33" s="194"/>
      <c r="P33" s="208" t="str">
        <f>IF(ISNUMBER(D33),LOOKUP(D33,$AB$5:$AC$7),D33)</f>
        <v>〃</v>
      </c>
      <c r="Q33" s="208" t="str">
        <f t="shared" si="7"/>
        <v xml:space="preserve">      EM-CEE   2  ㎟ -5C</v>
      </c>
      <c r="R33" s="301" t="str">
        <f t="shared" ca="1" si="8"/>
        <v xml:space="preserve">20.7  </v>
      </c>
      <c r="S33" s="305" t="str">
        <f>H33</f>
        <v>ｍ</v>
      </c>
      <c r="T33" s="145">
        <v>232</v>
      </c>
      <c r="U33" s="216">
        <f ca="1">IF(L33="l","",IF(D33+F33&gt;0,SUM(Z33:AA33),-1))</f>
        <v>4802</v>
      </c>
      <c r="V33" s="386">
        <v>124</v>
      </c>
      <c r="W33" s="108"/>
      <c r="Z33" s="114">
        <f>IF(D33&gt;0,0,TRUNC(F33*T33+Y33*X33))</f>
        <v>4802</v>
      </c>
      <c r="AA33" t="b">
        <f>IF($D33=1,SUM(Z$13:Z31)-SUM(AA$13:AA31),IF($D33=2,$AA$6,IF($D33=3,TRUNC($AA$6,-3))))</f>
        <v>0</v>
      </c>
      <c r="AB33">
        <f ca="1">IF(OR(AC$8=0,L32="l",D33&gt;0,U33=-1),0,IF(L32="b",-U33,TRUNC(F32*T33)))</f>
        <v>0</v>
      </c>
      <c r="AC33" t="b">
        <f>IF($D33=1,SUM(AB$13:AB31)-SUM(AC$13:AC31),IF($D33=2,$AA$5,IF($D33=3,TRUNC($AA$5,-3))))</f>
        <v>0</v>
      </c>
    </row>
    <row r="34" spans="3:29" ht="15" customHeight="1" x14ac:dyDescent="0.15">
      <c r="C34" s="182"/>
      <c r="D34" s="210"/>
      <c r="E34" s="184"/>
      <c r="F34" s="227"/>
      <c r="G34" s="297" t="str">
        <f ca="1">IF(OR(AC$8=0,L34="b"),"",IF(L34="l",0,"("&amp;FIXED(-F34,K35,0)&amp;M34))</f>
        <v/>
      </c>
      <c r="H34" s="183"/>
      <c r="I34" s="185"/>
      <c r="L34" t="str">
        <f t="shared" ca="1" si="6"/>
        <v>b</v>
      </c>
      <c r="M34" t="str">
        <f>")"&amp;REPT(" ",2-K35)&amp;IF(K35=0," ","")</f>
        <v xml:space="preserve">) </v>
      </c>
      <c r="O34" s="463"/>
      <c r="P34" s="207">
        <f>D34</f>
        <v>0</v>
      </c>
      <c r="Q34" s="207">
        <f t="shared" si="7"/>
        <v>0</v>
      </c>
      <c r="R34" s="300" t="str">
        <f t="shared" ca="1" si="8"/>
        <v/>
      </c>
      <c r="S34" s="304"/>
      <c r="T34" s="144"/>
      <c r="U34" s="206">
        <f ca="1">IF(OR(AC$8=0,SUM(Z35:AC35)=0),1,IF(L34="l","",SUM(AB35:AC35)))</f>
        <v>1</v>
      </c>
      <c r="V34" s="385"/>
      <c r="W34" s="50"/>
    </row>
    <row r="35" spans="3:29" ht="15" customHeight="1" x14ac:dyDescent="0.15">
      <c r="C35" s="186"/>
      <c r="D35" s="205" t="s">
        <v>101</v>
      </c>
      <c r="E35" s="188" t="s">
        <v>568</v>
      </c>
      <c r="F35" s="226">
        <v>44.5</v>
      </c>
      <c r="G35" s="296" t="str">
        <f ca="1">IF(L35="b","",IF(L35="l",0,FIXED(F35,K35,0)&amp;M35))</f>
        <v xml:space="preserve">44.5  </v>
      </c>
      <c r="H35" s="187" t="s">
        <v>229</v>
      </c>
      <c r="I35" s="189"/>
      <c r="K35" s="215">
        <v>1</v>
      </c>
      <c r="L35" t="str">
        <f t="shared" ca="1" si="6"/>
        <v>v</v>
      </c>
      <c r="M35" t="str">
        <f>REPT(" ",3-K35)&amp;IF(K35=0," ","")</f>
        <v xml:space="preserve">  </v>
      </c>
      <c r="O35" s="194"/>
      <c r="P35" s="208" t="str">
        <f>IF(ISNUMBER(D35),LOOKUP(D35,$AB$5:$AC$7),D35)</f>
        <v>〃</v>
      </c>
      <c r="Q35" s="208" t="str">
        <f t="shared" si="7"/>
        <v xml:space="preserve">      EM-CEE   2  ㎟ -6C</v>
      </c>
      <c r="R35" s="301" t="str">
        <f t="shared" ca="1" si="8"/>
        <v xml:space="preserve">44.5  </v>
      </c>
      <c r="S35" s="305" t="str">
        <f>H35</f>
        <v>ｍ</v>
      </c>
      <c r="T35" s="145">
        <v>277</v>
      </c>
      <c r="U35" s="216">
        <f ca="1">IF(L35="l","",IF(D35+F35&gt;0,SUM(Z35:AA35),-1))</f>
        <v>12326</v>
      </c>
      <c r="V35" s="386">
        <v>125</v>
      </c>
      <c r="W35" s="108"/>
      <c r="Z35" s="114">
        <f>IF(D35&gt;0,0,TRUNC(F35*T35+Y35*X35))</f>
        <v>12326</v>
      </c>
      <c r="AA35" t="b">
        <f>IF($D35=1,SUM(Z$13:Z33)-SUM(AA$13:AA33),IF($D35=2,$AA$6,IF($D35=3,TRUNC($AA$6,-3))))</f>
        <v>0</v>
      </c>
      <c r="AB35">
        <f ca="1">IF(OR(AC$8=0,L34="l",D35&gt;0,U35=-1),0,IF(L34="b",-U35,TRUNC(F34*T35)))</f>
        <v>0</v>
      </c>
      <c r="AC35" t="b">
        <f>IF($D35=1,SUM(AB$13:AB33)-SUM(AC$13:AC33),IF($D35=2,$AA$5,IF($D35=3,TRUNC($AA$5,-3))))</f>
        <v>0</v>
      </c>
    </row>
    <row r="36" spans="3:29" ht="15" customHeight="1" x14ac:dyDescent="0.15">
      <c r="C36" s="182"/>
      <c r="D36" s="210"/>
      <c r="E36" s="184"/>
      <c r="F36" s="227"/>
      <c r="G36" s="297" t="str">
        <f ca="1">IF(OR(AC$8=0,L36="b"),"",IF(L36="l",0,"("&amp;FIXED(-F36,K37,0)&amp;M36))</f>
        <v/>
      </c>
      <c r="H36" s="183"/>
      <c r="I36" s="185"/>
      <c r="L36" t="str">
        <f t="shared" ca="1" si="6"/>
        <v>b</v>
      </c>
      <c r="M36" t="str">
        <f>")"&amp;REPT(" ",2-K37)&amp;IF(K37=0," ","")</f>
        <v xml:space="preserve">) </v>
      </c>
      <c r="O36" s="463"/>
      <c r="P36" s="207">
        <f>D36</f>
        <v>0</v>
      </c>
      <c r="Q36" s="207">
        <f t="shared" si="7"/>
        <v>0</v>
      </c>
      <c r="R36" s="300" t="str">
        <f t="shared" ca="1" si="8"/>
        <v/>
      </c>
      <c r="S36" s="304"/>
      <c r="T36" s="144"/>
      <c r="U36" s="206">
        <f ca="1">IF(OR(AC$8=0,SUM(Z37:AC37)=0),1,IF(L36="l","",SUM(AB37:AC37)))</f>
        <v>1</v>
      </c>
      <c r="V36" s="385"/>
      <c r="W36" s="50"/>
    </row>
    <row r="37" spans="3:29" ht="15" customHeight="1" x14ac:dyDescent="0.15">
      <c r="C37" s="186"/>
      <c r="D37" s="205" t="s">
        <v>101</v>
      </c>
      <c r="E37" s="188" t="s">
        <v>569</v>
      </c>
      <c r="F37" s="226">
        <v>146.9</v>
      </c>
      <c r="G37" s="296" t="str">
        <f ca="1">IF(L37="b","",IF(L37="l",0,FIXED(F37,K37,0)&amp;M37))</f>
        <v xml:space="preserve">146.9  </v>
      </c>
      <c r="H37" s="187" t="s">
        <v>229</v>
      </c>
      <c r="I37" s="189"/>
      <c r="K37" s="215">
        <v>1</v>
      </c>
      <c r="L37" t="str">
        <f t="shared" ca="1" si="6"/>
        <v>v</v>
      </c>
      <c r="M37" t="str">
        <f>REPT(" ",3-K37)&amp;IF(K37=0," ","")</f>
        <v xml:space="preserve">  </v>
      </c>
      <c r="O37" s="194"/>
      <c r="P37" s="208" t="str">
        <f>IF(ISNUMBER(D37),LOOKUP(D37,$AB$5:$AC$7),D37)</f>
        <v>〃</v>
      </c>
      <c r="Q37" s="208" t="str">
        <f t="shared" si="7"/>
        <v xml:space="preserve">      EM-CEE   2  ㎟ -7C</v>
      </c>
      <c r="R37" s="301" t="str">
        <f t="shared" ca="1" si="8"/>
        <v xml:space="preserve">146.9  </v>
      </c>
      <c r="S37" s="305" t="str">
        <f>H37</f>
        <v>ｍ</v>
      </c>
      <c r="T37" s="145">
        <v>306</v>
      </c>
      <c r="U37" s="216">
        <f ca="1">IF(L37="l","",IF(D37+F37&gt;0,SUM(Z37:AA37),-1))</f>
        <v>44951</v>
      </c>
      <c r="V37" s="386">
        <v>126</v>
      </c>
      <c r="W37" s="108"/>
      <c r="Z37" s="114">
        <f>IF(D37&gt;0,0,TRUNC(F37*T37+Y37*X37))</f>
        <v>44951</v>
      </c>
      <c r="AA37" t="b">
        <f>IF($D37=1,SUM(Z$13:Z35)-SUM(AA$13:AA35),IF($D37=2,$AA$6,IF($D37=3,TRUNC($AA$6,-3))))</f>
        <v>0</v>
      </c>
      <c r="AB37">
        <f ca="1">IF(OR(AC$8=0,L36="l",D37&gt;0,U37=-1),0,IF(L36="b",-U37,TRUNC(F36*T37)))</f>
        <v>0</v>
      </c>
      <c r="AC37" t="b">
        <f>IF($D37=1,SUM(AB$13:AB35)-SUM(AC$13:AC35),IF($D37=2,$AA$5,IF($D37=3,TRUNC($AA$5,-3))))</f>
        <v>0</v>
      </c>
    </row>
    <row r="38" spans="3:29" ht="15" customHeight="1" x14ac:dyDescent="0.15">
      <c r="C38" s="182"/>
      <c r="D38" s="210"/>
      <c r="E38" s="184"/>
      <c r="F38" s="227"/>
      <c r="G38" s="297" t="str">
        <f ca="1">IF(OR(AC$8=0,L38="b"),"",IF(L38="l",0,"("&amp;FIXED(-F38,K39,0)&amp;M38))</f>
        <v/>
      </c>
      <c r="H38" s="183"/>
      <c r="I38" s="185"/>
      <c r="L38" t="str">
        <f t="shared" ca="1" si="6"/>
        <v>b</v>
      </c>
      <c r="M38" t="str">
        <f>")"&amp;REPT(" ",2-K39)&amp;IF(K39=0," ","")</f>
        <v xml:space="preserve">) </v>
      </c>
      <c r="O38" s="463"/>
      <c r="P38" s="207">
        <f>D38</f>
        <v>0</v>
      </c>
      <c r="Q38" s="207">
        <f t="shared" si="7"/>
        <v>0</v>
      </c>
      <c r="R38" s="300" t="str">
        <f t="shared" ca="1" si="8"/>
        <v/>
      </c>
      <c r="S38" s="304"/>
      <c r="T38" s="144"/>
      <c r="U38" s="206">
        <f ca="1">IF(OR(AC$8=0,SUM(Z39:AC39)=0),1,IF(L38="l","",SUM(AB39:AC39)))</f>
        <v>1</v>
      </c>
      <c r="V38" s="385"/>
      <c r="W38" s="50"/>
    </row>
    <row r="39" spans="3:29" ht="15" customHeight="1" x14ac:dyDescent="0.15">
      <c r="C39" s="186"/>
      <c r="D39" s="205" t="s">
        <v>101</v>
      </c>
      <c r="E39" s="188" t="s">
        <v>581</v>
      </c>
      <c r="F39" s="226">
        <v>35.6</v>
      </c>
      <c r="G39" s="296" t="str">
        <f ca="1">IF(L39="b","",IF(L39="l",0,FIXED(F39,K39,0)&amp;M39))</f>
        <v xml:space="preserve">35.6  </v>
      </c>
      <c r="H39" s="187" t="s">
        <v>229</v>
      </c>
      <c r="I39" s="189"/>
      <c r="K39" s="215">
        <v>1</v>
      </c>
      <c r="L39" t="str">
        <f t="shared" ca="1" si="6"/>
        <v>v</v>
      </c>
      <c r="M39" t="str">
        <f>REPT(" ",3-K39)&amp;IF(K39=0," ","")</f>
        <v xml:space="preserve">  </v>
      </c>
      <c r="O39" s="194"/>
      <c r="P39" s="208" t="str">
        <f>IF(ISNUMBER(D39),LOOKUP(D39,$AB$5:$AC$7),D39)</f>
        <v>〃</v>
      </c>
      <c r="Q39" s="208" t="str">
        <f t="shared" si="7"/>
        <v xml:space="preserve">      EM-CEES  2  ㎟ -2C</v>
      </c>
      <c r="R39" s="301" t="str">
        <f t="shared" ca="1" si="8"/>
        <v xml:space="preserve">35.6  </v>
      </c>
      <c r="S39" s="305" t="str">
        <f>H39</f>
        <v>ｍ</v>
      </c>
      <c r="T39" s="145">
        <v>217</v>
      </c>
      <c r="U39" s="216">
        <f ca="1">IF(L39="l","",IF(D39+F39&gt;0,SUM(Z39:AA39),-1))</f>
        <v>7725</v>
      </c>
      <c r="V39" s="386">
        <v>141</v>
      </c>
      <c r="W39" s="108"/>
      <c r="Z39" s="114">
        <f>IF(D39&gt;0,0,TRUNC(F39*T39+Y39*X39))</f>
        <v>7725</v>
      </c>
      <c r="AA39" t="b">
        <f>IF($D39=1,SUM(Z$13:Z37)-SUM(AA$13:AA37),IF($D39=2,$AA$6,IF($D39=3,TRUNC($AA$6,-3))))</f>
        <v>0</v>
      </c>
      <c r="AB39">
        <f ca="1">IF(OR(AC$8=0,L38="l",D39&gt;0,U39=-1),0,IF(L38="b",-U39,TRUNC(F38*T39)))</f>
        <v>0</v>
      </c>
      <c r="AC39" t="b">
        <f>IF($D39=1,SUM(AB$13:AB37)-SUM(AC$13:AC37),IF($D39=2,$AA$5,IF($D39=3,TRUNC($AA$5,-3))))</f>
        <v>0</v>
      </c>
    </row>
    <row r="40" spans="3:29" ht="15" customHeight="1" x14ac:dyDescent="0.15">
      <c r="C40" s="182"/>
      <c r="D40" s="210"/>
      <c r="E40" s="184"/>
      <c r="F40" s="227"/>
      <c r="G40" s="297" t="str">
        <f ca="1">IF(OR(AC$8=0,L40="b"),"",IF(L40="l",0,"("&amp;FIXED(-F40,K41,0)&amp;M40))</f>
        <v/>
      </c>
      <c r="H40" s="183"/>
      <c r="I40" s="185"/>
      <c r="L40" t="str">
        <f t="shared" ca="1" si="6"/>
        <v>b</v>
      </c>
      <c r="M40" t="str">
        <f>")"&amp;REPT(" ",2-K41)&amp;IF(K41=0," ","")</f>
        <v xml:space="preserve">)   </v>
      </c>
      <c r="O40" s="194"/>
      <c r="P40" s="207">
        <f>D40</f>
        <v>0</v>
      </c>
      <c r="Q40" s="207">
        <f t="shared" si="7"/>
        <v>0</v>
      </c>
      <c r="R40" s="300" t="str">
        <f t="shared" ca="1" si="8"/>
        <v/>
      </c>
      <c r="S40" s="304"/>
      <c r="T40" s="144"/>
      <c r="U40" s="206">
        <f ca="1">IF(OR(AC$8=0,SUM(Z41:AC41)=0),1,IF(L40="l","",SUM(AB41:AC41)))</f>
        <v>1</v>
      </c>
      <c r="V40" s="385"/>
      <c r="W40" s="197" t="str">
        <f ca="1">IF(OR(AC$8=0,Y40+Y41=0),"",TEXT(-Y40,"(#,0)"))</f>
        <v/>
      </c>
      <c r="Y40">
        <f ca="1">SUM(AB$13:AB39)</f>
        <v>0</v>
      </c>
    </row>
    <row r="41" spans="3:29" ht="15" customHeight="1" x14ac:dyDescent="0.15">
      <c r="C41" s="186"/>
      <c r="D41" s="205" t="s">
        <v>233</v>
      </c>
      <c r="E41" s="188" t="s">
        <v>51</v>
      </c>
      <c r="F41" s="226">
        <v>1</v>
      </c>
      <c r="G41" s="296" t="str">
        <f ca="1">IF(L41="b","",IF(L41="l",0,FIXED(F41,K41,0)&amp;M41))</f>
        <v xml:space="preserve">1    </v>
      </c>
      <c r="H41" s="187" t="s">
        <v>99</v>
      </c>
      <c r="I41" s="189"/>
      <c r="K41" s="215"/>
      <c r="L41" t="str">
        <f t="shared" ca="1" si="6"/>
        <v>v</v>
      </c>
      <c r="M41" t="str">
        <f>REPT(" ",3-K41)&amp;IF(K41=0," ","")</f>
        <v xml:space="preserve">    </v>
      </c>
      <c r="O41" s="194"/>
      <c r="P41" s="208" t="str">
        <f>IF(ISNUMBER(D41),LOOKUP(D41,$AB$5:$AC$7),D41)</f>
        <v>付  属  材  料</v>
      </c>
      <c r="Q41" s="208" t="str">
        <f t="shared" si="7"/>
        <v>上記材料費の 1.5％</v>
      </c>
      <c r="R41" s="301" t="str">
        <f t="shared" ca="1" si="8"/>
        <v xml:space="preserve">1    </v>
      </c>
      <c r="S41" s="305" t="str">
        <f>H41</f>
        <v>式</v>
      </c>
      <c r="T41" s="145"/>
      <c r="U41" s="216">
        <f ca="1">IF(L41="l","",IF(D41+F41&gt;0,SUM(Z41:AA41),-1))</f>
        <v>4480</v>
      </c>
      <c r="V41" s="386"/>
      <c r="W41" s="142" t="str">
        <f>TEXT(Y41," #,0×")&amp;TEXT(X41,"0.000＝")</f>
        <v xml:space="preserve"> 298,709×0.015＝</v>
      </c>
      <c r="X41">
        <f>VALUE(RIGHT(E41,4))</f>
        <v>1.4999999999999999E-2</v>
      </c>
      <c r="Y41" s="114">
        <f>SUM(Z$13:Z39)</f>
        <v>298709</v>
      </c>
      <c r="Z41" s="114">
        <f>IF(D41&gt;0,0,TRUNC(F41*T41+Y41*X41))</f>
        <v>4480</v>
      </c>
      <c r="AA41" t="b">
        <f>IF($D41=1,SUM(Z$13:Z39)-SUM(AA$13:AA39),IF($D41=2,$AA$6,IF($D41=3,TRUNC($AA$6,-3))))</f>
        <v>0</v>
      </c>
      <c r="AB41">
        <f ca="1">IF(OR(AC$8=0,L40="l",D41&gt;0,U41=-1),0,IF(L40="b",-U41,TRUNC(F40*T41)))</f>
        <v>0</v>
      </c>
      <c r="AC41" t="b">
        <f>IF($D41=1,SUM(AB$13:AB39)-SUM(AC$13:AC39),IF($D41=2,$AA$5,IF($D41=3,TRUNC($AA$5,-3))))</f>
        <v>0</v>
      </c>
    </row>
    <row r="42" spans="3:29" ht="15" customHeight="1" x14ac:dyDescent="0.15">
      <c r="C42" s="182"/>
      <c r="D42" s="210"/>
      <c r="E42" s="184"/>
      <c r="F42" s="227"/>
      <c r="G42" s="297" t="str">
        <f ca="1">IF(OR(AC$8=0,L42="b"),"",IF(L42="l",0,"("&amp;FIXED(-F42,K43,0)&amp;M42))</f>
        <v/>
      </c>
      <c r="H42" s="183"/>
      <c r="I42" s="185"/>
      <c r="L42" t="str">
        <f t="shared" ca="1" si="6"/>
        <v>b</v>
      </c>
      <c r="M42" t="str">
        <f>")"&amp;REPT(" ",2-K43)&amp;IF(K43=0," ","")</f>
        <v xml:space="preserve">)   </v>
      </c>
      <c r="O42" s="463"/>
      <c r="P42" s="207">
        <f>D42</f>
        <v>0</v>
      </c>
      <c r="Q42" s="207">
        <f t="shared" si="7"/>
        <v>0</v>
      </c>
      <c r="R42" s="300" t="str">
        <f t="shared" ca="1" si="8"/>
        <v/>
      </c>
      <c r="S42" s="304"/>
      <c r="T42" s="144"/>
      <c r="U42" s="206">
        <f ca="1">IF(OR(AC$8=0,SUM(Z43:AC43)=0),1,IF(L42="l","",SUM(AB43:AC43)))</f>
        <v>1</v>
      </c>
      <c r="V42" s="385"/>
      <c r="W42" s="50"/>
    </row>
    <row r="43" spans="3:29" ht="15" customHeight="1" x14ac:dyDescent="0.15">
      <c r="C43" s="186"/>
      <c r="D43" s="205"/>
      <c r="E43" s="188"/>
      <c r="F43" s="226"/>
      <c r="G43" s="296" t="str">
        <f ca="1">IF(L43="b","",IF(L43="l",0,FIXED(F43,K43,0)&amp;M43))</f>
        <v/>
      </c>
      <c r="H43" s="187"/>
      <c r="I43" s="189"/>
      <c r="K43" s="215"/>
      <c r="L43" t="str">
        <f t="shared" ca="1" si="6"/>
        <v>b</v>
      </c>
      <c r="M43" t="str">
        <f>REPT(" ",3-K43)&amp;IF(K43=0," ","")</f>
        <v xml:space="preserve">    </v>
      </c>
      <c r="O43" s="194"/>
      <c r="P43" s="208">
        <f>IF(ISNUMBER(D43),LOOKUP(D43,$AB$5:$AC$7),D43)</f>
        <v>0</v>
      </c>
      <c r="Q43" s="208">
        <f t="shared" si="7"/>
        <v>0</v>
      </c>
      <c r="R43" s="301" t="str">
        <f t="shared" ca="1" si="8"/>
        <v/>
      </c>
      <c r="S43" s="305">
        <f>H43</f>
        <v>0</v>
      </c>
      <c r="T43" s="145"/>
      <c r="U43" s="216">
        <f ca="1">IF(L43="l","",IF(D43+F43&gt;0,SUM(Z43:AA43),-1))</f>
        <v>-1</v>
      </c>
      <c r="V43" s="386"/>
      <c r="W43" s="108"/>
      <c r="Z43" s="114">
        <f>IF(D43&gt;0,0,TRUNC(F43*T43+Y43*X43))</f>
        <v>0</v>
      </c>
      <c r="AA43" t="b">
        <f>IF($D43=1,SUM(Z$13:Z41)-SUM(AA$13:AA41),IF($D43=2,$AA$6,IF($D43=3,TRUNC($AA$6,-3))))</f>
        <v>0</v>
      </c>
      <c r="AB43">
        <f ca="1">IF(OR(AC$8=0,L42="l",D43&gt;0,U43=-1),0,IF(L42="b",-U43,TRUNC(F42*T43)))</f>
        <v>0</v>
      </c>
      <c r="AC43" t="b">
        <f>IF($D43=1,SUM(AB$13:AB41)-SUM(AC$13:AC41),IF($D43=2,$AA$5,IF($D43=3,TRUNC($AA$5,-3))))</f>
        <v>0</v>
      </c>
    </row>
    <row r="44" spans="3:29" ht="15" customHeight="1" x14ac:dyDescent="0.15">
      <c r="C44" s="182"/>
      <c r="D44" s="210"/>
      <c r="E44" s="184"/>
      <c r="F44" s="227"/>
      <c r="G44" s="297" t="str">
        <f ca="1">IF(OR(AC$8=0,L44="b"),"",IF(L44="l",0,"("&amp;FIXED(-F44,K45,0)&amp;M44))</f>
        <v/>
      </c>
      <c r="H44" s="183"/>
      <c r="I44" s="185"/>
      <c r="L44" t="str">
        <f t="shared" ca="1" si="6"/>
        <v>b</v>
      </c>
      <c r="M44" t="str">
        <f>")"&amp;REPT(" ",2-K45)&amp;IF(K45=0," ","")</f>
        <v xml:space="preserve">)   </v>
      </c>
      <c r="O44" s="194"/>
      <c r="P44" s="207">
        <f>D44</f>
        <v>0</v>
      </c>
      <c r="Q44" s="207">
        <f t="shared" si="7"/>
        <v>0</v>
      </c>
      <c r="R44" s="300" t="str">
        <f t="shared" ca="1" si="8"/>
        <v/>
      </c>
      <c r="S44" s="304"/>
      <c r="T44" s="144"/>
      <c r="U44" s="206">
        <f ca="1">IF(OR(AC$8=0,SUM(Z45:AC45)=0),1,IF(L44="l","",SUM(AB45:AC45)))</f>
        <v>1</v>
      </c>
      <c r="V44" s="385"/>
      <c r="W44" s="50"/>
    </row>
    <row r="45" spans="3:29" ht="15" customHeight="1" x14ac:dyDescent="0.15">
      <c r="C45" s="186"/>
      <c r="D45" s="205">
        <v>1</v>
      </c>
      <c r="E45" s="188"/>
      <c r="F45" s="226"/>
      <c r="G45" s="296" t="str">
        <f ca="1">IF(L45="b","",IF(L45="l",0,FIXED(F45,K45,0)&amp;M45))</f>
        <v/>
      </c>
      <c r="H45" s="187"/>
      <c r="I45" s="189"/>
      <c r="K45" s="215"/>
      <c r="L45" t="str">
        <f t="shared" ca="1" si="6"/>
        <v>b</v>
      </c>
      <c r="M45" t="str">
        <f>REPT(" ",3-K45)&amp;IF(K45=0," ","")</f>
        <v xml:space="preserve">    </v>
      </c>
      <c r="O45" s="194"/>
      <c r="P45" s="208" t="str">
        <f>IF(ISNUMBER(D45),LOOKUP(D45,$AB$5:$AC$7),D45)</f>
        <v>小    　計</v>
      </c>
      <c r="Q45" s="208">
        <f t="shared" si="7"/>
        <v>0</v>
      </c>
      <c r="R45" s="301" t="str">
        <f t="shared" ca="1" si="8"/>
        <v/>
      </c>
      <c r="S45" s="305">
        <f>H45</f>
        <v>0</v>
      </c>
      <c r="T45" s="145"/>
      <c r="U45" s="216">
        <f ca="1">IF(L45="l","",IF(D45+F45&gt;0,SUM(Z45:AA45),-1))</f>
        <v>303189</v>
      </c>
      <c r="V45" s="386"/>
      <c r="W45" s="108"/>
      <c r="Z45" s="114">
        <f>IF(D45&gt;0,0,TRUNC(F45*T45+Y45*X45))</f>
        <v>0</v>
      </c>
      <c r="AA45">
        <f>IF($D45=1,SUM(Z$13:Z43)-SUM(AA$13:AA43),IF($D45=2,$AA$6,IF($D45=3,TRUNC($AA$6,-3))))</f>
        <v>303189</v>
      </c>
      <c r="AB45">
        <f ca="1">IF(OR(AC$8=0,L44="l",D45&gt;0,U45=-1),0,IF(L44="b",-U45,TRUNC(F44*T45)))</f>
        <v>0</v>
      </c>
      <c r="AC45">
        <f ca="1">IF($D45=1,SUM(AB$13:AB43)-SUM(AC$13:AC43),IF($D45=2,$AA$5,IF($D45=3,TRUNC($AA$5,-3))))</f>
        <v>0</v>
      </c>
    </row>
    <row r="46" spans="3:29" ht="15" customHeight="1" x14ac:dyDescent="0.15">
      <c r="C46" s="182"/>
      <c r="D46" s="214" t="s">
        <v>686</v>
      </c>
      <c r="E46" s="184"/>
      <c r="F46" s="227"/>
      <c r="G46" s="297" t="str">
        <f ca="1">IF(OR(AC$8=0,L46="b"),"",IF(L46="l",0,"("&amp;FIXED(-F46,K47,0)&amp;M46))</f>
        <v/>
      </c>
      <c r="H46" s="183"/>
      <c r="I46" s="185"/>
      <c r="L46" t="str">
        <f t="shared" ca="1" si="6"/>
        <v>b</v>
      </c>
      <c r="M46" t="str">
        <f>")"&amp;REPT(" ",2-K47)&amp;IF(K47=0," ","")</f>
        <v xml:space="preserve">) </v>
      </c>
      <c r="O46" s="194"/>
      <c r="P46" s="317" t="str">
        <f>D46</f>
        <v>　耐衝撃性</v>
      </c>
      <c r="Q46" s="207">
        <f t="shared" si="7"/>
        <v>0</v>
      </c>
      <c r="R46" s="300" t="str">
        <f t="shared" ca="1" si="8"/>
        <v/>
      </c>
      <c r="S46" s="304"/>
      <c r="T46" s="144"/>
      <c r="U46" s="206">
        <f ca="1">IF(OR(AC$8=0,SUM(Z47:AC47)=0),1,IF(L46="l","",SUM(AB47:AC47)))</f>
        <v>1</v>
      </c>
      <c r="V46" s="385"/>
      <c r="W46" s="197"/>
    </row>
    <row r="47" spans="3:29" ht="15" customHeight="1" x14ac:dyDescent="0.15">
      <c r="C47" s="186" t="s">
        <v>54</v>
      </c>
      <c r="D47" s="213" t="s">
        <v>353</v>
      </c>
      <c r="E47" s="188" t="s">
        <v>372</v>
      </c>
      <c r="F47" s="226">
        <v>38.5</v>
      </c>
      <c r="G47" s="296" t="str">
        <f ca="1">IF(L47="b","",IF(L47="l",0,FIXED(F47,K47,0)&amp;M47))</f>
        <v xml:space="preserve">38.5  </v>
      </c>
      <c r="H47" s="187" t="s">
        <v>8</v>
      </c>
      <c r="I47" s="189" t="s">
        <v>53</v>
      </c>
      <c r="K47" s="215">
        <v>1</v>
      </c>
      <c r="L47" t="str">
        <f t="shared" ca="1" si="6"/>
        <v>v</v>
      </c>
      <c r="M47" t="str">
        <f>REPT(" ",3-K47)&amp;IF(K47=0," ","")</f>
        <v xml:space="preserve">  </v>
      </c>
      <c r="O47" s="194"/>
      <c r="P47" s="256" t="str">
        <f>IF(ISNUMBER(D47),LOOKUP(D47,$AB$5:$AC$7),D47)</f>
        <v>硬質ビニル電線管　</v>
      </c>
      <c r="Q47" s="208" t="str">
        <f t="shared" si="7"/>
        <v>HIVE (22)</v>
      </c>
      <c r="R47" s="301" t="str">
        <f t="shared" ca="1" si="8"/>
        <v xml:space="preserve">38.5  </v>
      </c>
      <c r="S47" s="305" t="str">
        <f>H47</f>
        <v>ｍ</v>
      </c>
      <c r="T47" s="145">
        <v>103</v>
      </c>
      <c r="U47" s="216">
        <f ca="1">IF(L47="l","",IF(D47+F47&gt;0,SUM(Z47:AA47),-1))</f>
        <v>3965</v>
      </c>
      <c r="V47" s="386">
        <v>3</v>
      </c>
      <c r="W47" s="142" t="str">
        <f>I47</f>
        <v>屋内露出</v>
      </c>
      <c r="Y47" s="114"/>
      <c r="Z47" s="114">
        <f>IF(D47&gt;0,0,TRUNC(F47*T47+Y47*X47))</f>
        <v>3965</v>
      </c>
      <c r="AA47" t="b">
        <f>IF($D47=1,SUM(Z$13:Z45)-SUM(AA$13:AA45),IF($D47=2,$AA$6,IF($D47=3,TRUNC($AA$6,-3))))</f>
        <v>0</v>
      </c>
      <c r="AB47">
        <f ca="1">IF(OR(AC$8=0,L46="l",D47&gt;0,U47=-1),0,IF(L46="b",-U47,TRUNC(F46*T47)))</f>
        <v>0</v>
      </c>
      <c r="AC47" t="b">
        <f>IF($D47=1,SUM(AB$13:AB45)-SUM(AC$13:AC45),IF($D47=2,$AA$5,IF($D47=3,TRUNC($AA$5,-3))))</f>
        <v>0</v>
      </c>
    </row>
    <row r="48" spans="3:29" ht="15" customHeight="1" x14ac:dyDescent="0.15">
      <c r="C48" s="182"/>
      <c r="D48" s="210"/>
      <c r="E48" s="184"/>
      <c r="F48" s="227"/>
      <c r="G48" s="297" t="str">
        <f ca="1">IF(OR(AC$8=0,L48="b"),"",IF(L48="l",0,"("&amp;FIXED(-F48,K49,0)&amp;M48))</f>
        <v/>
      </c>
      <c r="H48" s="183"/>
      <c r="I48" s="185"/>
      <c r="L48" t="str">
        <f t="shared" ca="1" si="6"/>
        <v>b</v>
      </c>
      <c r="M48" t="str">
        <f>")"&amp;REPT(" ",2-K49)&amp;IF(K49=0," ","")</f>
        <v xml:space="preserve">) </v>
      </c>
      <c r="O48" s="194"/>
      <c r="P48" s="207">
        <f>D48</f>
        <v>0</v>
      </c>
      <c r="Q48" s="207">
        <f t="shared" si="7"/>
        <v>0</v>
      </c>
      <c r="R48" s="300" t="str">
        <f t="shared" ca="1" si="8"/>
        <v/>
      </c>
      <c r="S48" s="304"/>
      <c r="T48" s="144"/>
      <c r="U48" s="206">
        <f ca="1">IF(OR(AC$8=0,SUM(Z49:AC49)=0),1,IF(L48="l","",SUM(AB49:AC49)))</f>
        <v>1</v>
      </c>
      <c r="V48" s="392"/>
      <c r="W48" s="197"/>
    </row>
    <row r="49" spans="3:29" ht="15" customHeight="1" x14ac:dyDescent="0.15">
      <c r="C49" s="186"/>
      <c r="D49" s="205" t="s">
        <v>236</v>
      </c>
      <c r="E49" s="188" t="s">
        <v>373</v>
      </c>
      <c r="F49" s="226">
        <v>37.799999999999997</v>
      </c>
      <c r="G49" s="296" t="str">
        <f ca="1">IF(L49="b","",IF(L49="l",0,FIXED(F49,K49,0)&amp;M49))</f>
        <v xml:space="preserve">37.8  </v>
      </c>
      <c r="H49" s="187" t="s">
        <v>8</v>
      </c>
      <c r="I49" s="189" t="s">
        <v>3</v>
      </c>
      <c r="K49" s="215">
        <v>1</v>
      </c>
      <c r="L49" t="str">
        <f t="shared" ca="1" si="6"/>
        <v>v</v>
      </c>
      <c r="M49" t="str">
        <f>REPT(" ",3-K49)&amp;IF(K49=0," ","")</f>
        <v xml:space="preserve">  </v>
      </c>
      <c r="O49" s="194" t="s">
        <v>85</v>
      </c>
      <c r="P49" s="208" t="str">
        <f>IF(ISNUMBER(D49),LOOKUP(D49,$AB$5:$AC$7),D49)</f>
        <v>〃</v>
      </c>
      <c r="Q49" s="208" t="str">
        <f t="shared" si="7"/>
        <v>HIVE (28)</v>
      </c>
      <c r="R49" s="301" t="str">
        <f t="shared" ca="1" si="8"/>
        <v xml:space="preserve">37.8  </v>
      </c>
      <c r="S49" s="305" t="str">
        <f>H49</f>
        <v>ｍ</v>
      </c>
      <c r="T49" s="145">
        <v>200</v>
      </c>
      <c r="U49" s="216">
        <f ca="1">IF(L49="l","",IF(D49+F49&gt;0,SUM(Z49:AA49),-1))</f>
        <v>7560</v>
      </c>
      <c r="V49" s="386">
        <v>4</v>
      </c>
      <c r="W49" s="142" t="str">
        <f>I49</f>
        <v xml:space="preserve">   〃</v>
      </c>
      <c r="Y49" s="114"/>
      <c r="Z49" s="114">
        <f>IF(D49&gt;0,0,TRUNC(F49*T49+Y49*X49))</f>
        <v>7560</v>
      </c>
      <c r="AA49" t="b">
        <f>IF($D49=1,SUM(Z$13:Z47)-SUM(AA$13:AA47),IF($D49=2,$AA$6,IF($D49=3,TRUNC($AA$6,-3))))</f>
        <v>0</v>
      </c>
      <c r="AB49">
        <f ca="1">IF(OR(AC$8=0,L48="l",D49&gt;0,U49=-1),0,IF(L48="b",-U49,TRUNC(F48*T49)))</f>
        <v>0</v>
      </c>
      <c r="AC49" t="b">
        <f>IF($D49=1,SUM(AB$13:AB47)-SUM(AC$13:AC47),IF($D49=2,$AA$5,IF($D49=3,TRUNC($AA$5,-3))))</f>
        <v>0</v>
      </c>
    </row>
    <row r="50" spans="3:29" ht="15" customHeight="1" x14ac:dyDescent="0.15">
      <c r="C50" s="182"/>
      <c r="D50" s="210"/>
      <c r="E50" s="184"/>
      <c r="F50" s="227"/>
      <c r="G50" s="297" t="str">
        <f ca="1">IF(OR(AC$8=0,L50="b"),"",IF(L50="l",0,"("&amp;FIXED(-F50,K51,0)&amp;M50))</f>
        <v/>
      </c>
      <c r="H50" s="183"/>
      <c r="I50" s="185"/>
      <c r="L50" t="str">
        <f t="shared" ca="1" si="6"/>
        <v>b</v>
      </c>
      <c r="M50" t="str">
        <f>")"&amp;REPT(" ",2-K51)&amp;IF(K51=0," ","")</f>
        <v xml:space="preserve">) </v>
      </c>
      <c r="O50" s="194"/>
      <c r="P50" s="207">
        <f>D50</f>
        <v>0</v>
      </c>
      <c r="Q50" s="207">
        <f t="shared" si="7"/>
        <v>0</v>
      </c>
      <c r="R50" s="300" t="str">
        <f t="shared" ca="1" si="8"/>
        <v/>
      </c>
      <c r="S50" s="304"/>
      <c r="T50" s="144"/>
      <c r="U50" s="206">
        <f ca="1">IF(OR(AC$8=0,SUM(Z51:AC51)=0),1,IF(L50="l","",SUM(AB51:AC51)))</f>
        <v>1</v>
      </c>
      <c r="V50" s="392"/>
      <c r="W50" s="197"/>
    </row>
    <row r="51" spans="3:29" ht="15" customHeight="1" x14ac:dyDescent="0.15">
      <c r="C51" s="186"/>
      <c r="D51" s="205" t="s">
        <v>236</v>
      </c>
      <c r="E51" s="188" t="s">
        <v>374</v>
      </c>
      <c r="F51" s="226">
        <v>18.5</v>
      </c>
      <c r="G51" s="296" t="str">
        <f ca="1">IF(L51="b","",IF(L51="l",0,FIXED(F51,K51,0)&amp;M51))</f>
        <v xml:space="preserve">18.5  </v>
      </c>
      <c r="H51" s="187" t="s">
        <v>8</v>
      </c>
      <c r="I51" s="189" t="s">
        <v>3</v>
      </c>
      <c r="K51" s="215">
        <v>1</v>
      </c>
      <c r="L51" t="str">
        <f t="shared" ca="1" si="6"/>
        <v>v</v>
      </c>
      <c r="M51" t="str">
        <f>REPT(" ",3-K51)&amp;IF(K51=0," ","")</f>
        <v xml:space="preserve">  </v>
      </c>
      <c r="O51" s="194"/>
      <c r="P51" s="208" t="str">
        <f>IF(ISNUMBER(D51),LOOKUP(D51,$AB$5:$AC$7),D51)</f>
        <v>〃</v>
      </c>
      <c r="Q51" s="208" t="str">
        <f t="shared" si="7"/>
        <v>HIVE (36)</v>
      </c>
      <c r="R51" s="301" t="str">
        <f t="shared" ca="1" si="8"/>
        <v xml:space="preserve">18.5  </v>
      </c>
      <c r="S51" s="305" t="str">
        <f>H51</f>
        <v>ｍ</v>
      </c>
      <c r="T51" s="145">
        <v>285</v>
      </c>
      <c r="U51" s="216">
        <f ca="1">IF(L51="l","",IF(D51+F51&gt;0,SUM(Z51:AA51),-1))</f>
        <v>5272</v>
      </c>
      <c r="V51" s="386">
        <v>5</v>
      </c>
      <c r="W51" s="142" t="str">
        <f>I51</f>
        <v xml:space="preserve">   〃</v>
      </c>
      <c r="Y51" s="114"/>
      <c r="Z51" s="114">
        <f>IF(D51&gt;0,0,TRUNC(F51*T51+Y51*X51))</f>
        <v>5272</v>
      </c>
      <c r="AA51" t="b">
        <f>IF($D51=1,SUM(Z$13:Z49)-SUM(AA$13:AA49),IF($D51=2,$AA$6,IF($D51=3,TRUNC($AA$6,-3))))</f>
        <v>0</v>
      </c>
      <c r="AB51">
        <f ca="1">IF(OR(AC$8=0,L50="l",D51&gt;0,U51=-1),0,IF(L50="b",-U51,TRUNC(F50*T51)))</f>
        <v>0</v>
      </c>
      <c r="AC51" t="b">
        <f>IF($D51=1,SUM(AB$13:AB49)-SUM(AC$13:AC49),IF($D51=2,$AA$5,IF($D51=3,TRUNC($AA$5,-3))))</f>
        <v>0</v>
      </c>
    </row>
    <row r="52" spans="3:29" ht="15" customHeight="1" x14ac:dyDescent="0.15">
      <c r="C52" s="182"/>
      <c r="D52" s="210"/>
      <c r="E52" s="184"/>
      <c r="F52" s="227"/>
      <c r="G52" s="297" t="str">
        <f ca="1">IF(OR(AC$8=0,L52="b"),"",IF(L52="l",0,"("&amp;FIXED(-F52,K53,0)&amp;M52))</f>
        <v/>
      </c>
      <c r="H52" s="183"/>
      <c r="I52" s="185"/>
      <c r="L52" t="str">
        <f t="shared" ca="1" si="6"/>
        <v>b</v>
      </c>
      <c r="M52" t="str">
        <f>")"&amp;REPT(" ",2-K53)&amp;IF(K53=0," ","")</f>
        <v xml:space="preserve">) </v>
      </c>
      <c r="O52" s="194"/>
      <c r="P52" s="207">
        <f>D52</f>
        <v>0</v>
      </c>
      <c r="Q52" s="207">
        <f t="shared" si="7"/>
        <v>0</v>
      </c>
      <c r="R52" s="300" t="str">
        <f t="shared" ca="1" si="8"/>
        <v/>
      </c>
      <c r="S52" s="304"/>
      <c r="T52" s="144"/>
      <c r="U52" s="206">
        <f ca="1">IF(OR(AC$8=0,SUM(Z53:AC53)=0),1,IF(L52="l","",SUM(AB53:AC53)))</f>
        <v>1</v>
      </c>
      <c r="V52" s="385"/>
      <c r="W52" s="197"/>
    </row>
    <row r="53" spans="3:29" ht="15" customHeight="1" x14ac:dyDescent="0.15">
      <c r="C53" s="186"/>
      <c r="D53" s="205" t="s">
        <v>236</v>
      </c>
      <c r="E53" s="188" t="s">
        <v>492</v>
      </c>
      <c r="F53" s="226">
        <v>7.3</v>
      </c>
      <c r="G53" s="296" t="str">
        <f ca="1">IF(L53="b","",IF(L53="l",0,FIXED(F53,K53,0)&amp;M53))</f>
        <v xml:space="preserve">7.3  </v>
      </c>
      <c r="H53" s="187" t="s">
        <v>8</v>
      </c>
      <c r="I53" s="189" t="s">
        <v>3</v>
      </c>
      <c r="K53" s="215">
        <v>1</v>
      </c>
      <c r="L53" t="str">
        <f t="shared" ca="1" si="6"/>
        <v>v</v>
      </c>
      <c r="M53" t="str">
        <f>REPT(" ",3-K53)&amp;IF(K53=0," ","")</f>
        <v xml:space="preserve">  </v>
      </c>
      <c r="O53" s="194" t="s">
        <v>86</v>
      </c>
      <c r="P53" s="208" t="str">
        <f>IF(ISNUMBER(D53),LOOKUP(D53,$AB$5:$AC$7),D53)</f>
        <v>〃</v>
      </c>
      <c r="Q53" s="208" t="str">
        <f t="shared" si="7"/>
        <v>HIVE (42)</v>
      </c>
      <c r="R53" s="301" t="str">
        <f t="shared" ca="1" si="8"/>
        <v xml:space="preserve">7.3  </v>
      </c>
      <c r="S53" s="305" t="str">
        <f>H53</f>
        <v>ｍ</v>
      </c>
      <c r="T53" s="145">
        <v>377</v>
      </c>
      <c r="U53" s="216">
        <f ca="1">IF(L53="l","",IF(D53+F53&gt;0,SUM(Z53:AA53),-1))</f>
        <v>2752</v>
      </c>
      <c r="V53" s="386">
        <v>6</v>
      </c>
      <c r="W53" s="142" t="str">
        <f>I53</f>
        <v xml:space="preserve">   〃</v>
      </c>
      <c r="Y53" s="114"/>
      <c r="Z53" s="114">
        <f>IF(D53&gt;0,0,TRUNC(F53*T53+Y53*X53))</f>
        <v>2752</v>
      </c>
      <c r="AA53" t="b">
        <f>IF($D53=1,SUM(Z$13:Z51)-SUM(AA$13:AA51),IF($D53=2,$AA$6,IF($D53=3,TRUNC($AA$6,-3))))</f>
        <v>0</v>
      </c>
      <c r="AB53">
        <f ca="1">IF(OR(AC$8=0,L52="l",D53&gt;0,U53=-1),0,IF(L52="b",-U53,TRUNC(F52*T53)))</f>
        <v>0</v>
      </c>
      <c r="AC53" t="b">
        <f>IF($D53=1,SUM(AB$13:AB51)-SUM(AC$13:AC51),IF($D53=2,$AA$5,IF($D53=3,TRUNC($AA$5,-3))))</f>
        <v>0</v>
      </c>
    </row>
    <row r="54" spans="3:29" ht="15" customHeight="1" x14ac:dyDescent="0.15">
      <c r="C54" s="182"/>
      <c r="D54" s="210"/>
      <c r="E54" s="184"/>
      <c r="F54" s="227"/>
      <c r="G54" s="297" t="str">
        <f ca="1">IF(OR(AC$8=0,L54="b"),"",IF(L54="l",0,"("&amp;FIXED(-F54,K55,0)&amp;M54))</f>
        <v/>
      </c>
      <c r="H54" s="183"/>
      <c r="I54" s="185"/>
      <c r="L54" t="str">
        <f t="shared" ca="1" si="6"/>
        <v>b</v>
      </c>
      <c r="M54" t="str">
        <f>")"&amp;REPT(" ",2-K55)&amp;IF(K55=0," ","")</f>
        <v xml:space="preserve">) </v>
      </c>
      <c r="O54" s="194"/>
      <c r="P54" s="207">
        <f>D54</f>
        <v>0</v>
      </c>
      <c r="Q54" s="207">
        <f t="shared" si="7"/>
        <v>0</v>
      </c>
      <c r="R54" s="300" t="str">
        <f t="shared" ca="1" si="8"/>
        <v/>
      </c>
      <c r="S54" s="304"/>
      <c r="T54" s="144"/>
      <c r="U54" s="206">
        <f ca="1">IF(OR(AC$8=0,SUM(Z55:AC55)=0),1,IF(L54="l","",SUM(AB55:AC55)))</f>
        <v>1</v>
      </c>
      <c r="V54" s="392"/>
      <c r="W54" s="197"/>
    </row>
    <row r="55" spans="3:29" ht="15" customHeight="1" x14ac:dyDescent="0.15">
      <c r="C55" s="186"/>
      <c r="D55" s="205" t="s">
        <v>236</v>
      </c>
      <c r="E55" s="188" t="s">
        <v>376</v>
      </c>
      <c r="F55" s="226">
        <v>21.6</v>
      </c>
      <c r="G55" s="296" t="str">
        <f ca="1">IF(L55="b","",IF(L55="l",0,FIXED(F55,K55,0)&amp;M55))</f>
        <v xml:space="preserve">21.6  </v>
      </c>
      <c r="H55" s="187" t="s">
        <v>8</v>
      </c>
      <c r="I55" s="189" t="s">
        <v>3</v>
      </c>
      <c r="K55" s="215">
        <v>1</v>
      </c>
      <c r="L55" t="str">
        <f t="shared" ca="1" si="6"/>
        <v>v</v>
      </c>
      <c r="M55" t="str">
        <f>REPT(" ",3-K55)&amp;IF(K55=0," ","")</f>
        <v xml:space="preserve">  </v>
      </c>
      <c r="O55" s="194"/>
      <c r="P55" s="208" t="str">
        <f>IF(ISNUMBER(D55),LOOKUP(D55,$AB$5:$AC$7),D55)</f>
        <v>〃</v>
      </c>
      <c r="Q55" s="208" t="str">
        <f t="shared" si="7"/>
        <v>HIVE (54)</v>
      </c>
      <c r="R55" s="301" t="str">
        <f t="shared" ca="1" si="8"/>
        <v xml:space="preserve">21.6  </v>
      </c>
      <c r="S55" s="305" t="str">
        <f>H55</f>
        <v>ｍ</v>
      </c>
      <c r="T55" s="145">
        <v>535</v>
      </c>
      <c r="U55" s="216">
        <f ca="1">IF(L55="l","",IF(D55+F55&gt;0,SUM(Z55:AA55),-1))</f>
        <v>11556</v>
      </c>
      <c r="V55" s="386">
        <v>7</v>
      </c>
      <c r="W55" s="142" t="str">
        <f>I55</f>
        <v xml:space="preserve">   〃</v>
      </c>
      <c r="Y55" s="114"/>
      <c r="Z55" s="114">
        <f>IF(D55&gt;0,0,TRUNC(F55*T55+Y55*X55))</f>
        <v>11556</v>
      </c>
      <c r="AA55" t="b">
        <f>IF($D55=1,SUM(Z$13:Z53)-SUM(AA$13:AA53),IF($D55=2,$AA$6,IF($D55=3,TRUNC($AA$6,-3))))</f>
        <v>0</v>
      </c>
      <c r="AB55">
        <f ca="1">IF(OR(AC$8=0,L54="l",D55&gt;0,U55=-1),0,IF(L54="b",-U55,TRUNC(F54*T55)))</f>
        <v>0</v>
      </c>
      <c r="AC55" t="b">
        <f>IF($D55=1,SUM(AB$13:AB53)-SUM(AC$13:AC53),IF($D55=2,$AA$5,IF($D55=3,TRUNC($AA$5,-3))))</f>
        <v>0</v>
      </c>
    </row>
    <row r="56" spans="3:29" ht="15" customHeight="1" x14ac:dyDescent="0.15">
      <c r="C56" s="182"/>
      <c r="D56" s="210"/>
      <c r="E56" s="184"/>
      <c r="F56" s="227"/>
      <c r="G56" s="297" t="str">
        <f ca="1">IF(OR(AC$8=0,L56="b"),"",IF(L56="l",0,"("&amp;FIXED(-F56,K57,0)&amp;M56))</f>
        <v/>
      </c>
      <c r="H56" s="183"/>
      <c r="I56" s="185"/>
      <c r="L56" t="str">
        <f t="shared" ca="1" si="6"/>
        <v>b</v>
      </c>
      <c r="M56" t="str">
        <f>")"&amp;REPT(" ",2-K57)&amp;IF(K57=0," ","")</f>
        <v xml:space="preserve">) </v>
      </c>
      <c r="O56" s="194"/>
      <c r="P56" s="207">
        <f>D56</f>
        <v>0</v>
      </c>
      <c r="Q56" s="207">
        <f t="shared" si="7"/>
        <v>0</v>
      </c>
      <c r="R56" s="300" t="str">
        <f t="shared" ca="1" si="8"/>
        <v/>
      </c>
      <c r="S56" s="304"/>
      <c r="T56" s="144"/>
      <c r="U56" s="206">
        <f ca="1">IF(OR(AC$8=0,SUM(Z57:AC57)=0),1,IF(L56="l","",SUM(AB57:AC57)))</f>
        <v>1</v>
      </c>
      <c r="V56" s="392"/>
      <c r="W56" s="197"/>
    </row>
    <row r="57" spans="3:29" ht="15" customHeight="1" x14ac:dyDescent="0.15">
      <c r="C57" s="186"/>
      <c r="D57" s="205" t="s">
        <v>236</v>
      </c>
      <c r="E57" s="188" t="s">
        <v>478</v>
      </c>
      <c r="F57" s="226">
        <v>3</v>
      </c>
      <c r="G57" s="296" t="str">
        <f ca="1">IF(L57="b","",IF(L57="l",0,FIXED(F57,K57,0)&amp;M57))</f>
        <v xml:space="preserve">3.0  </v>
      </c>
      <c r="H57" s="187" t="s">
        <v>8</v>
      </c>
      <c r="I57" s="189" t="s">
        <v>3</v>
      </c>
      <c r="K57" s="215">
        <v>1</v>
      </c>
      <c r="L57" t="str">
        <f t="shared" ca="1" si="6"/>
        <v>v</v>
      </c>
      <c r="M57" t="str">
        <f>REPT(" ",3-K57)&amp;IF(K57=0," ","")</f>
        <v xml:space="preserve">  </v>
      </c>
      <c r="O57" s="194" t="s">
        <v>38</v>
      </c>
      <c r="P57" s="208" t="str">
        <f>IF(ISNUMBER(D57),LOOKUP(D57,$AB$5:$AC$7),D57)</f>
        <v>〃</v>
      </c>
      <c r="Q57" s="208" t="str">
        <f t="shared" si="7"/>
        <v>HIVE (70)</v>
      </c>
      <c r="R57" s="301" t="str">
        <f t="shared" ca="1" si="8"/>
        <v xml:space="preserve">3.0  </v>
      </c>
      <c r="S57" s="305" t="str">
        <f>H57</f>
        <v>ｍ</v>
      </c>
      <c r="T57" s="145">
        <v>680</v>
      </c>
      <c r="U57" s="216">
        <f ca="1">IF(L57="l","",IF(D57+F57&gt;0,SUM(Z57:AA57),-1))</f>
        <v>2040</v>
      </c>
      <c r="V57" s="386">
        <v>8</v>
      </c>
      <c r="W57" s="142" t="str">
        <f>I57</f>
        <v xml:space="preserve">   〃</v>
      </c>
      <c r="Y57" s="114"/>
      <c r="Z57" s="114">
        <f>IF(D57&gt;0,0,TRUNC(F57*T57+Y57*X57))</f>
        <v>2040</v>
      </c>
      <c r="AA57" t="b">
        <f>IF($D57=1,SUM(Z$13:Z55)-SUM(AA$13:AA55),IF($D57=2,$AA$6,IF($D57=3,TRUNC($AA$6,-3))))</f>
        <v>0</v>
      </c>
      <c r="AB57">
        <f ca="1">IF(OR(AC$8=0,L56="l",D57&gt;0,U57=-1),0,IF(L56="b",-U57,TRUNC(F56*T57)))</f>
        <v>0</v>
      </c>
      <c r="AC57" t="b">
        <f>IF($D57=1,SUM(AB$13:AB55)-SUM(AC$13:AC55),IF($D57=2,$AA$5,IF($D57=3,TRUNC($AA$5,-3))))</f>
        <v>0</v>
      </c>
    </row>
    <row r="58" spans="3:29" ht="15" customHeight="1" x14ac:dyDescent="0.15">
      <c r="C58" s="182"/>
      <c r="D58" s="210"/>
      <c r="E58" s="184"/>
      <c r="F58" s="227"/>
      <c r="G58" s="297" t="str">
        <f ca="1">IF(OR(AC$8=0,L58="b"),"",IF(L58="l",0,"("&amp;FIXED(-F58,K59,0)&amp;M58))</f>
        <v/>
      </c>
      <c r="H58" s="183"/>
      <c r="I58" s="185"/>
      <c r="L58" t="str">
        <f t="shared" ca="1" si="6"/>
        <v>b</v>
      </c>
      <c r="M58" t="str">
        <f>")"&amp;REPT(" ",2-K59)&amp;IF(K59=0," ","")</f>
        <v xml:space="preserve">)   </v>
      </c>
      <c r="O58" s="194"/>
      <c r="P58" s="207">
        <f>D58</f>
        <v>0</v>
      </c>
      <c r="Q58" s="207">
        <f t="shared" si="7"/>
        <v>0</v>
      </c>
      <c r="R58" s="300" t="str">
        <f t="shared" ca="1" si="8"/>
        <v/>
      </c>
      <c r="S58" s="304"/>
      <c r="T58" s="144"/>
      <c r="U58" s="206">
        <f ca="1">IF(OR(AC$8=0,SUM(Z59:AC59)=0),1,IF(L58="l","",SUM(AB59:AC59)))</f>
        <v>1</v>
      </c>
      <c r="V58" s="392"/>
      <c r="W58" s="197" t="str">
        <f ca="1">IF(OR(AC$8=0,SUM(Z59:AC59)=0),"",CONCATENATE("(",FIXED(-#REF!,0),")"))</f>
        <v/>
      </c>
      <c r="Y58">
        <f ca="1">SUM(AB47:AB57)</f>
        <v>0</v>
      </c>
    </row>
    <row r="59" spans="3:29" ht="15" customHeight="1" x14ac:dyDescent="0.15">
      <c r="C59" s="186"/>
      <c r="D59" s="205" t="s">
        <v>233</v>
      </c>
      <c r="E59" s="188" t="s">
        <v>4</v>
      </c>
      <c r="F59" s="226">
        <v>1</v>
      </c>
      <c r="G59" s="296" t="str">
        <f ca="1">IF(L59="b","",IF(L59="l",0,FIXED(F59,K59,0)&amp;M59))</f>
        <v xml:space="preserve">1    </v>
      </c>
      <c r="H59" s="187" t="s">
        <v>99</v>
      </c>
      <c r="I59" s="189"/>
      <c r="K59" s="215"/>
      <c r="L59" t="str">
        <f t="shared" ca="1" si="6"/>
        <v>v</v>
      </c>
      <c r="M59" t="str">
        <f>REPT(" ",3-K59)&amp;IF(K59=0," ","")</f>
        <v xml:space="preserve">    </v>
      </c>
      <c r="O59" s="194"/>
      <c r="P59" s="208" t="str">
        <f>IF(ISNUMBER(D59),LOOKUP(D59,$AB$5:$AC$7),D59)</f>
        <v>付  属  材  料</v>
      </c>
      <c r="Q59" s="208" t="str">
        <f t="shared" si="7"/>
        <v>上記材料費の 90％</v>
      </c>
      <c r="R59" s="301" t="str">
        <f t="shared" ca="1" si="8"/>
        <v xml:space="preserve">1    </v>
      </c>
      <c r="S59" s="305" t="str">
        <f>H59</f>
        <v>式</v>
      </c>
      <c r="T59" s="145"/>
      <c r="U59" s="216">
        <f ca="1">IF(L59="l","",IF(D59+F59&gt;0,SUM(Z59:AA59),-1))</f>
        <v>29830</v>
      </c>
      <c r="V59" s="393"/>
      <c r="W59" s="142" t="str">
        <f>TEXT(Y59," #,0×")&amp;TEXT(X59,"0.00＝")</f>
        <v xml:space="preserve"> 33,145×0.90＝</v>
      </c>
      <c r="X59">
        <f>VALUE(RIGHT(E59,4))</f>
        <v>0.9</v>
      </c>
      <c r="Y59" s="114">
        <f>SUM(Z47:Z57)</f>
        <v>33145</v>
      </c>
      <c r="Z59" s="114">
        <f>IF(D59&gt;0,0,TRUNC(F59*T59+Y59*X59))</f>
        <v>29830</v>
      </c>
      <c r="AA59" t="b">
        <f>IF($D59=1,SUM(Z$13:Z57)-SUM(AA$13:AA57),IF($D59=2,$AA$6,IF($D59=3,TRUNC($AA$6,-3))))</f>
        <v>0</v>
      </c>
      <c r="AB59">
        <f ca="1">IF(OR(AC$8=0,L58="l",D59&gt;0,U59=-1),0,IF(L58="b",-U59,TRUNC(F58*T59)))</f>
        <v>0</v>
      </c>
      <c r="AC59" t="b">
        <f>IF($D59=1,SUM(AB$13:AB57)-SUM(AC$13:AC57),IF($D59=2,$AA$5,IF($D59=3,TRUNC($AA$5,-3))))</f>
        <v>0</v>
      </c>
    </row>
    <row r="60" spans="3:29" ht="15" customHeight="1" x14ac:dyDescent="0.15">
      <c r="C60" s="182"/>
      <c r="D60" s="214"/>
      <c r="E60" s="184"/>
      <c r="F60" s="227"/>
      <c r="G60" s="297" t="str">
        <f ca="1">IF(OR(AC$8=0,L60="b"),"",IF(L60="l",0,"("&amp;FIXED(-F60,K61,0)&amp;M60))</f>
        <v/>
      </c>
      <c r="H60" s="183"/>
      <c r="I60" s="185"/>
      <c r="L60" t="str">
        <f t="shared" ref="L60:L73" ca="1" si="9">CELL("type",F60)</f>
        <v>b</v>
      </c>
      <c r="M60" t="str">
        <f>")"&amp;REPT(" ",2-K61)&amp;IF(K61=0," ","")</f>
        <v xml:space="preserve">)   </v>
      </c>
      <c r="O60" s="194"/>
      <c r="P60" s="207">
        <f>D60</f>
        <v>0</v>
      </c>
      <c r="Q60" s="207">
        <f>E60</f>
        <v>0</v>
      </c>
      <c r="R60" s="300" t="str">
        <f t="shared" ref="R60:R73" ca="1" si="10">G60</f>
        <v/>
      </c>
      <c r="S60" s="304"/>
      <c r="T60" s="144"/>
      <c r="U60" s="206">
        <f ca="1">IF(OR(AC$8=0,SUM(Z61:AC61)=0),1,IF(L60="l","",SUM(AB61:AC61)))</f>
        <v>1</v>
      </c>
      <c r="V60" s="385"/>
      <c r="W60" s="50"/>
    </row>
    <row r="61" spans="3:29" ht="15" customHeight="1" x14ac:dyDescent="0.15">
      <c r="C61" s="186"/>
      <c r="D61" s="205"/>
      <c r="E61" s="188"/>
      <c r="F61" s="226"/>
      <c r="G61" s="296" t="str">
        <f ca="1">IF(L61="b","",IF(L61="l",0,FIXED(F61,K61,0)&amp;M61))</f>
        <v/>
      </c>
      <c r="H61" s="187"/>
      <c r="I61" s="189"/>
      <c r="K61" s="215"/>
      <c r="L61" t="str">
        <f t="shared" ca="1" si="9"/>
        <v>b</v>
      </c>
      <c r="M61" t="str">
        <f>REPT(" ",3-K61)&amp;IF(K61=0," ","")</f>
        <v xml:space="preserve">    </v>
      </c>
      <c r="O61" s="194"/>
      <c r="P61" s="208">
        <f>IF(ISNUMBER(D61),LOOKUP(D61,$AB$5:$AC$7),D61)</f>
        <v>0</v>
      </c>
      <c r="Q61" s="208">
        <f t="shared" ref="Q61:Q73" si="11">E61</f>
        <v>0</v>
      </c>
      <c r="R61" s="301" t="str">
        <f t="shared" ca="1" si="10"/>
        <v/>
      </c>
      <c r="S61" s="305">
        <f>H61</f>
        <v>0</v>
      </c>
      <c r="T61" s="145"/>
      <c r="U61" s="216">
        <f ca="1">IF(L61="l","",IF(D61+F61&gt;0,SUM(Z61:AA61),-1))</f>
        <v>-1</v>
      </c>
      <c r="V61" s="386"/>
      <c r="W61" s="107"/>
      <c r="Z61" s="114">
        <f>IF(D61&gt;0,0,TRUNC(F61*T61+Y61*X61))</f>
        <v>0</v>
      </c>
      <c r="AA61" t="b">
        <f>IF($D61=1,SUM(Z$13:Z59)-SUM(AA$13:AA59),IF($D61=2,$AA$6,IF($D61=3,TRUNC($AA$6,-3))))</f>
        <v>0</v>
      </c>
      <c r="AB61">
        <f ca="1">IF(OR(AC$8=0,L60="l",D61&gt;0,U61=-1),0,IF(L60="b",-U61,TRUNC(F60*T61)))</f>
        <v>0</v>
      </c>
      <c r="AC61" t="b">
        <f>IF($D61=1,SUM(AB$13:AB59)-SUM(AC$13:AC59),IF($D61=2,$AA$5,IF($D61=3,TRUNC($AA$5,-3))))</f>
        <v>0</v>
      </c>
    </row>
    <row r="62" spans="3:29" ht="15" customHeight="1" x14ac:dyDescent="0.15">
      <c r="C62" s="182"/>
      <c r="D62" s="210"/>
      <c r="E62" s="184"/>
      <c r="F62" s="227"/>
      <c r="G62" s="297" t="str">
        <f ca="1">IF(OR(AC$8=0,L62="b"),"",IF(L62="l",0,"("&amp;FIXED(-F62,K63,0)&amp;M62))</f>
        <v/>
      </c>
      <c r="H62" s="183"/>
      <c r="I62" s="185"/>
      <c r="L62" t="str">
        <f t="shared" ca="1" si="9"/>
        <v>b</v>
      </c>
      <c r="M62" t="str">
        <f>")"&amp;REPT(" ",2-K63)&amp;IF(K63=0," ","")</f>
        <v xml:space="preserve">)   </v>
      </c>
      <c r="O62" s="194"/>
      <c r="P62" s="207">
        <f>D62</f>
        <v>0</v>
      </c>
      <c r="Q62" s="207">
        <f t="shared" si="11"/>
        <v>0</v>
      </c>
      <c r="R62" s="300" t="str">
        <f t="shared" ca="1" si="10"/>
        <v/>
      </c>
      <c r="S62" s="304"/>
      <c r="T62" s="144"/>
      <c r="U62" s="206">
        <f ca="1">IF(OR(AC$8=0,SUM(Z63:AC63)=0),1,IF(L62="l","",SUM(AB63:AC63)))</f>
        <v>1</v>
      </c>
      <c r="V62" s="392"/>
      <c r="W62" s="197"/>
    </row>
    <row r="63" spans="3:29" ht="15" customHeight="1" x14ac:dyDescent="0.15">
      <c r="C63" s="186"/>
      <c r="D63" s="205">
        <v>1</v>
      </c>
      <c r="E63" s="188"/>
      <c r="F63" s="226"/>
      <c r="G63" s="296" t="str">
        <f ca="1">IF(L63="b","",IF(L63="l",0,FIXED(F63,K63,0)&amp;M63))</f>
        <v/>
      </c>
      <c r="H63" s="187"/>
      <c r="I63" s="189"/>
      <c r="K63" s="215"/>
      <c r="L63" t="str">
        <f t="shared" ca="1" si="9"/>
        <v>b</v>
      </c>
      <c r="M63" t="str">
        <f>REPT(" ",3-K63)&amp;IF(K63=0," ","")</f>
        <v xml:space="preserve">    </v>
      </c>
      <c r="O63" s="194"/>
      <c r="P63" s="208" t="str">
        <f>IF(ISNUMBER(D63),LOOKUP(D63,$AB$5:$AC$7),D63)</f>
        <v>小    　計</v>
      </c>
      <c r="Q63" s="208">
        <f t="shared" si="11"/>
        <v>0</v>
      </c>
      <c r="R63" s="301" t="str">
        <f t="shared" ca="1" si="10"/>
        <v/>
      </c>
      <c r="S63" s="305">
        <f>H63</f>
        <v>0</v>
      </c>
      <c r="T63" s="145"/>
      <c r="U63" s="216">
        <f ca="1">IF(L63="l","",IF(D63+F63&gt;0,SUM(Z63:AA63),-1))</f>
        <v>62975</v>
      </c>
      <c r="V63" s="386"/>
      <c r="W63" s="142"/>
      <c r="Y63" s="114"/>
      <c r="Z63" s="114">
        <f>IF(D63&gt;0,0,TRUNC(F63*T63+Y63*X63))</f>
        <v>0</v>
      </c>
      <c r="AA63">
        <f>IF($D63=1,SUM(Z$13:Z61)-SUM(AA$13:AA61),IF($D63=2,$AA$6,IF($D63=3,TRUNC($AA$6,-3))))</f>
        <v>62975</v>
      </c>
      <c r="AB63">
        <f ca="1">IF(OR(AC$8=0,L62="l",D63&gt;0,U63=-1),0,IF(L62="b",-U63,TRUNC(F62*T63)))</f>
        <v>0</v>
      </c>
      <c r="AC63">
        <f ca="1">IF($D63=1,SUM(AB$13:AB61)-SUM(AC$13:AC61),IF($D63=2,$AA$5,IF($D63=3,TRUNC($AA$5,-3))))</f>
        <v>0</v>
      </c>
    </row>
    <row r="64" spans="3:29" ht="15" customHeight="1" x14ac:dyDescent="0.15">
      <c r="C64" s="182"/>
      <c r="D64" s="210"/>
      <c r="E64" s="184"/>
      <c r="F64" s="227"/>
      <c r="G64" s="297" t="str">
        <f ca="1">IF(OR(AC$8=0,L64="b"),"",IF(L64="l",0,"("&amp;FIXED(-F64,K65,0)&amp;M64))</f>
        <v/>
      </c>
      <c r="H64" s="183"/>
      <c r="I64" s="185"/>
      <c r="L64" t="str">
        <f t="shared" ca="1" si="9"/>
        <v>b</v>
      </c>
      <c r="M64" t="str">
        <f>")"&amp;REPT(" ",2-K65)&amp;IF(K65=0," ","")</f>
        <v xml:space="preserve">)   </v>
      </c>
      <c r="O64" s="194"/>
      <c r="P64" s="207">
        <f>D64</f>
        <v>0</v>
      </c>
      <c r="Q64" s="207">
        <f t="shared" si="11"/>
        <v>0</v>
      </c>
      <c r="R64" s="300" t="str">
        <f t="shared" ca="1" si="10"/>
        <v/>
      </c>
      <c r="S64" s="304"/>
      <c r="T64" s="144"/>
      <c r="U64" s="206">
        <f ca="1">IF(OR(AC$8=0,SUM(Z65:AC65)=0),1,IF(L64="l","",SUM(AB65:AC65)))</f>
        <v>1</v>
      </c>
      <c r="V64" s="392"/>
      <c r="W64" s="197"/>
    </row>
    <row r="65" spans="1:29" ht="15" customHeight="1" x14ac:dyDescent="0.15">
      <c r="C65" s="186"/>
      <c r="D65" s="205"/>
      <c r="E65" s="188"/>
      <c r="F65" s="226"/>
      <c r="G65" s="296" t="str">
        <f ca="1">IF(L65="b","",IF(L65="l",0,FIXED(F65,K65,0)&amp;M65))</f>
        <v/>
      </c>
      <c r="H65" s="187"/>
      <c r="I65" s="189"/>
      <c r="K65" s="215"/>
      <c r="L65" t="str">
        <f t="shared" ca="1" si="9"/>
        <v>b</v>
      </c>
      <c r="M65" t="str">
        <f>REPT(" ",3-K65)&amp;IF(K65=0," ","")</f>
        <v xml:space="preserve">    </v>
      </c>
      <c r="O65" s="194"/>
      <c r="P65" s="208">
        <f>IF(ISNUMBER(D65),LOOKUP(D65,$AB$5:$AC$7),D65)</f>
        <v>0</v>
      </c>
      <c r="Q65" s="208">
        <f t="shared" si="11"/>
        <v>0</v>
      </c>
      <c r="R65" s="301" t="str">
        <f t="shared" ca="1" si="10"/>
        <v/>
      </c>
      <c r="S65" s="305">
        <f>H65</f>
        <v>0</v>
      </c>
      <c r="T65" s="145"/>
      <c r="U65" s="216">
        <f ca="1">IF(L65="l","",IF(D65+F65&gt;0,SUM(Z65:AA65),-1))</f>
        <v>-1</v>
      </c>
      <c r="V65" s="386"/>
      <c r="W65" s="142"/>
      <c r="Y65" s="114"/>
      <c r="Z65" s="114">
        <f>IF(D65&gt;0,0,TRUNC(F65*T65+Y65*X65))</f>
        <v>0</v>
      </c>
      <c r="AA65" t="b">
        <f>IF($D65=1,SUM(Z$13:Z63)-SUM(AA$13:AA63),IF($D65=2,$AA$6,IF($D65=3,TRUNC($AA$6,-3))))</f>
        <v>0</v>
      </c>
      <c r="AB65">
        <f ca="1">IF(OR(AC$8=0,L64="l",D65&gt;0,U65=-1),0,IF(L64="b",-U65,TRUNC(F64*T65)))</f>
        <v>0</v>
      </c>
      <c r="AC65" t="b">
        <f>IF($D65=1,SUM(AB$13:AB63)-SUM(AC$13:AC63),IF($D65=2,$AA$5,IF($D65=3,TRUNC($AA$5,-3))))</f>
        <v>0</v>
      </c>
    </row>
    <row r="66" spans="1:29" ht="15" customHeight="1" x14ac:dyDescent="0.15">
      <c r="C66" s="182"/>
      <c r="D66" s="210"/>
      <c r="E66" s="184"/>
      <c r="F66" s="227"/>
      <c r="G66" s="297" t="str">
        <f ca="1">IF(OR(AC$8=0,L66="b"),"",IF(L66="l",0,"("&amp;FIXED(-F66,K67,0)&amp;M66))</f>
        <v/>
      </c>
      <c r="H66" s="183"/>
      <c r="I66" s="185"/>
      <c r="L66" t="str">
        <f t="shared" ca="1" si="9"/>
        <v>b</v>
      </c>
      <c r="M66" t="str">
        <f>")"&amp;REPT(" ",2-K67)&amp;IF(K67=0," ","")</f>
        <v xml:space="preserve">)   </v>
      </c>
      <c r="O66" s="194"/>
      <c r="P66" s="207">
        <f>D66</f>
        <v>0</v>
      </c>
      <c r="Q66" s="207">
        <f t="shared" si="11"/>
        <v>0</v>
      </c>
      <c r="R66" s="300" t="str">
        <f t="shared" ca="1" si="10"/>
        <v/>
      </c>
      <c r="S66" s="304"/>
      <c r="T66" s="144"/>
      <c r="U66" s="206">
        <f ca="1">IF(OR(AC$8=0,SUM(Z67:AC67)=0),1,IF(L66="l","",SUM(AB67:AC67)))</f>
        <v>1</v>
      </c>
      <c r="V66" s="392"/>
      <c r="W66" s="197"/>
    </row>
    <row r="67" spans="1:29" ht="15" customHeight="1" x14ac:dyDescent="0.15">
      <c r="C67" s="186"/>
      <c r="D67" s="205"/>
      <c r="E67" s="188"/>
      <c r="F67" s="226"/>
      <c r="G67" s="296" t="str">
        <f ca="1">IF(L67="b","",IF(L67="l",0,FIXED(F67,K67,0)&amp;M67))</f>
        <v/>
      </c>
      <c r="H67" s="187"/>
      <c r="I67" s="189"/>
      <c r="K67" s="215"/>
      <c r="L67" t="str">
        <f t="shared" ca="1" si="9"/>
        <v>b</v>
      </c>
      <c r="M67" t="str">
        <f>REPT(" ",3-K67)&amp;IF(K67=0," ","")</f>
        <v xml:space="preserve">    </v>
      </c>
      <c r="O67" s="194"/>
      <c r="P67" s="208">
        <f>IF(ISNUMBER(D67),LOOKUP(D67,$AB$5:$AC$7),D67)</f>
        <v>0</v>
      </c>
      <c r="Q67" s="208">
        <f t="shared" si="11"/>
        <v>0</v>
      </c>
      <c r="R67" s="301" t="str">
        <f t="shared" ca="1" si="10"/>
        <v/>
      </c>
      <c r="S67" s="305">
        <f>H67</f>
        <v>0</v>
      </c>
      <c r="T67" s="145"/>
      <c r="U67" s="216">
        <f ca="1">IF(L67="l","",IF(D67+F67&gt;0,SUM(Z67:AA67),-1))</f>
        <v>-1</v>
      </c>
      <c r="V67" s="386"/>
      <c r="W67" s="142"/>
      <c r="Y67" s="114"/>
      <c r="Z67" s="114">
        <f>IF(D67&gt;0,0,TRUNC(F67*T67+Y67*X67))</f>
        <v>0</v>
      </c>
      <c r="AA67" t="b">
        <f>IF($D67=1,SUM(Z$13:Z65)-SUM(AA$13:AA65),IF($D67=2,$AA$6,IF($D67=3,TRUNC($AA$6,-3))))</f>
        <v>0</v>
      </c>
      <c r="AB67">
        <f ca="1">IF(OR(AC$8=0,L66="l",D67&gt;0,U67=-1),0,IF(L66="b",-U67,TRUNC(F66*T67)))</f>
        <v>0</v>
      </c>
      <c r="AC67" t="b">
        <f>IF($D67=1,SUM(AB$13:AB65)-SUM(AC$13:AC65),IF($D67=2,$AA$5,IF($D67=3,TRUNC($AA$5,-3))))</f>
        <v>0</v>
      </c>
    </row>
    <row r="68" spans="1:29" ht="15" customHeight="1" x14ac:dyDescent="0.15">
      <c r="C68" s="182"/>
      <c r="D68" s="210"/>
      <c r="E68" s="184"/>
      <c r="F68" s="227"/>
      <c r="G68" s="297" t="str">
        <f ca="1">IF(OR(AC$8=0,L68="b"),"",IF(L68="l",0,"("&amp;FIXED(-F68,K69,0)&amp;M68))</f>
        <v/>
      </c>
      <c r="H68" s="183"/>
      <c r="I68" s="185"/>
      <c r="L68" t="str">
        <f t="shared" ca="1" si="9"/>
        <v>b</v>
      </c>
      <c r="M68" t="str">
        <f>")"&amp;REPT(" ",2-K69)&amp;IF(K69=0," ","")</f>
        <v xml:space="preserve">)   </v>
      </c>
      <c r="O68" s="194"/>
      <c r="P68" s="207">
        <f>D68</f>
        <v>0</v>
      </c>
      <c r="Q68" s="207">
        <f t="shared" si="11"/>
        <v>0</v>
      </c>
      <c r="R68" s="300" t="str">
        <f t="shared" ca="1" si="10"/>
        <v/>
      </c>
      <c r="S68" s="304"/>
      <c r="T68" s="144"/>
      <c r="U68" s="206">
        <f ca="1">IF(OR(AC$8=0,SUM(Z69:AC69)=0),1,IF(L68="l","",SUM(AB69:AC69)))</f>
        <v>1</v>
      </c>
      <c r="V68" s="392"/>
      <c r="W68" s="197"/>
    </row>
    <row r="69" spans="1:29" ht="15" customHeight="1" x14ac:dyDescent="0.15">
      <c r="C69" s="186"/>
      <c r="D69" s="205"/>
      <c r="E69" s="188"/>
      <c r="F69" s="226"/>
      <c r="G69" s="296" t="str">
        <f ca="1">IF(L69="b","",IF(L69="l",0,FIXED(F69,K69,0)&amp;M69))</f>
        <v/>
      </c>
      <c r="H69" s="187"/>
      <c r="I69" s="189"/>
      <c r="K69" s="215"/>
      <c r="L69" t="str">
        <f t="shared" ca="1" si="9"/>
        <v>b</v>
      </c>
      <c r="M69" t="str">
        <f>REPT(" ",3-K69)&amp;IF(K69=0," ","")</f>
        <v xml:space="preserve">    </v>
      </c>
      <c r="O69" s="194"/>
      <c r="P69" s="208">
        <f>IF(ISNUMBER(D69),LOOKUP(D69,$AB$5:$AC$7),D69)</f>
        <v>0</v>
      </c>
      <c r="Q69" s="208">
        <f t="shared" si="11"/>
        <v>0</v>
      </c>
      <c r="R69" s="301" t="str">
        <f t="shared" ca="1" si="10"/>
        <v/>
      </c>
      <c r="S69" s="305">
        <f>H69</f>
        <v>0</v>
      </c>
      <c r="T69" s="145"/>
      <c r="U69" s="216">
        <f ca="1">IF(L69="l","",IF(D69+F69&gt;0,SUM(Z69:AA69),-1))</f>
        <v>-1</v>
      </c>
      <c r="V69" s="393"/>
      <c r="W69" s="142"/>
      <c r="Y69" s="114"/>
      <c r="Z69" s="114">
        <f>IF(D69&gt;0,0,TRUNC(F69*T69+Y69*X69))</f>
        <v>0</v>
      </c>
      <c r="AA69" t="b">
        <f>IF($D69=1,SUM(Z$13:Z67)-SUM(AA$13:AA67),IF($D69=2,$AA$6,IF($D69=3,TRUNC($AA$6,-3))))</f>
        <v>0</v>
      </c>
      <c r="AB69">
        <f ca="1">IF(OR(AC$8=0,L68="l",D69&gt;0,U69=-1),0,IF(L68="b",-U69,TRUNC(F68*T69)))</f>
        <v>0</v>
      </c>
      <c r="AC69" t="b">
        <f>IF($D69=1,SUM(AB$13:AB67)-SUM(AC$13:AC67),IF($D69=2,$AA$5,IF($D69=3,TRUNC($AA$5,-3))))</f>
        <v>0</v>
      </c>
    </row>
    <row r="70" spans="1:29" ht="15" customHeight="1" x14ac:dyDescent="0.15">
      <c r="C70" s="182"/>
      <c r="D70" s="214"/>
      <c r="E70" s="184"/>
      <c r="F70" s="227"/>
      <c r="G70" s="297" t="str">
        <f ca="1">IF(OR(AC$8=0,L70="b"),"",IF(L70="l",0,"("&amp;FIXED(-F70,K71,0)&amp;M70))</f>
        <v/>
      </c>
      <c r="H70" s="183"/>
      <c r="I70" s="185"/>
      <c r="L70" t="str">
        <f t="shared" ca="1" si="9"/>
        <v>b</v>
      </c>
      <c r="M70" t="str">
        <f>")"&amp;REPT(" ",2-K71)&amp;IF(K71=0," ","")</f>
        <v xml:space="preserve">)   </v>
      </c>
      <c r="O70" s="194"/>
      <c r="P70" s="207">
        <f>D70</f>
        <v>0</v>
      </c>
      <c r="Q70" s="207">
        <f t="shared" si="11"/>
        <v>0</v>
      </c>
      <c r="R70" s="300" t="str">
        <f t="shared" ca="1" si="10"/>
        <v/>
      </c>
      <c r="S70" s="304"/>
      <c r="T70" s="144"/>
      <c r="U70" s="206">
        <f ca="1">IF(OR(AC$8=0,SUM(Z71:AC71)=0),1,IF(L70="l","",SUM(AB71:AC71)))</f>
        <v>1</v>
      </c>
      <c r="V70" s="385"/>
      <c r="W70" s="50"/>
    </row>
    <row r="71" spans="1:29" ht="15" customHeight="1" x14ac:dyDescent="0.15">
      <c r="C71" s="186"/>
      <c r="D71" s="205"/>
      <c r="E71" s="188"/>
      <c r="F71" s="226"/>
      <c r="G71" s="296" t="str">
        <f ca="1">IF(L71="b","",IF(L71="l",0,FIXED(F71,K71,0)&amp;M71))</f>
        <v/>
      </c>
      <c r="H71" s="187"/>
      <c r="I71" s="189"/>
      <c r="K71" s="215"/>
      <c r="L71" t="str">
        <f t="shared" ca="1" si="9"/>
        <v>b</v>
      </c>
      <c r="M71" t="str">
        <f>REPT(" ",3-K71)&amp;IF(K71=0," ","")</f>
        <v xml:space="preserve">    </v>
      </c>
      <c r="O71" s="194"/>
      <c r="P71" s="208">
        <f>IF(ISNUMBER(D71),LOOKUP(D71,$AB$5:$AC$7),D71)</f>
        <v>0</v>
      </c>
      <c r="Q71" s="208">
        <f t="shared" si="11"/>
        <v>0</v>
      </c>
      <c r="R71" s="301" t="str">
        <f t="shared" ca="1" si="10"/>
        <v/>
      </c>
      <c r="S71" s="305">
        <f>H71</f>
        <v>0</v>
      </c>
      <c r="T71" s="145"/>
      <c r="U71" s="216">
        <f ca="1">IF(L71="l","",IF(D71+F71&gt;0,SUM(Z71:AA71),-1))</f>
        <v>-1</v>
      </c>
      <c r="V71" s="386"/>
      <c r="W71" s="107"/>
      <c r="Z71" s="114">
        <f>IF(D71&gt;0,0,TRUNC(F71*T71+Y71*X71))</f>
        <v>0</v>
      </c>
      <c r="AA71" t="b">
        <f>IF($D71=1,SUM(Z$13:Z69)-SUM(AA$13:AA69),IF($D71=2,$AA$6,IF($D71=3,TRUNC($AA$6,-3))))</f>
        <v>0</v>
      </c>
      <c r="AB71">
        <f ca="1">IF(OR(AC$8=0,L70="l",D71&gt;0,U71=-1),0,IF(L70="b",-U71,TRUNC(F70*T71)))</f>
        <v>0</v>
      </c>
      <c r="AC71" t="b">
        <f>IF($D71=1,SUM(AB$13:AB69)-SUM(AC$13:AC69),IF($D71=2,$AA$5,IF($D71=3,TRUNC($AA$5,-3))))</f>
        <v>0</v>
      </c>
    </row>
    <row r="72" spans="1:29" ht="15" customHeight="1" x14ac:dyDescent="0.15">
      <c r="C72" s="182"/>
      <c r="D72" s="212"/>
      <c r="E72" s="184"/>
      <c r="F72" s="227"/>
      <c r="G72" s="297" t="str">
        <f ca="1">IF(OR(AC$8=0,L72="b"),"",IF(L72="l",0,"("&amp;FIXED(-F72,K73,0)&amp;M72))</f>
        <v/>
      </c>
      <c r="H72" s="183"/>
      <c r="I72" s="185"/>
      <c r="L72" t="str">
        <f t="shared" ca="1" si="9"/>
        <v>b</v>
      </c>
      <c r="M72" t="str">
        <f>")"&amp;REPT(" ",2-K73)&amp;IF(K73=0," ","")</f>
        <v xml:space="preserve">)   </v>
      </c>
      <c r="O72" s="194"/>
      <c r="P72" s="255">
        <f>D72</f>
        <v>0</v>
      </c>
      <c r="Q72" s="207">
        <f t="shared" si="11"/>
        <v>0</v>
      </c>
      <c r="R72" s="300" t="str">
        <f t="shared" ca="1" si="10"/>
        <v/>
      </c>
      <c r="S72" s="304"/>
      <c r="T72" s="144"/>
      <c r="U72" s="206">
        <f ca="1">IF(OR(AC$8=0,SUM(Z73:AC73)=0),1,IF(L72="l","",SUM(AB73:AC73)))</f>
        <v>1</v>
      </c>
      <c r="V72" s="385"/>
      <c r="W72" s="50" t="str">
        <f ca="1">IF(OR(AC$8=0,SUM(Z73:AC73)=0),"",CONCATENATE("(",FIXED(-#REF!,0),")"))</f>
        <v/>
      </c>
    </row>
    <row r="73" spans="1:29" ht="15" customHeight="1" thickBot="1" x14ac:dyDescent="0.2">
      <c r="C73" s="190"/>
      <c r="D73" s="211"/>
      <c r="E73" s="192"/>
      <c r="F73" s="228"/>
      <c r="G73" s="298" t="str">
        <f ca="1">IF(L73="b","",IF(L73="l",0,FIXED(F73,K73,0)&amp;M73))</f>
        <v/>
      </c>
      <c r="H73" s="191"/>
      <c r="I73" s="193"/>
      <c r="K73" s="215"/>
      <c r="L73" t="str">
        <f t="shared" ca="1" si="9"/>
        <v>b</v>
      </c>
      <c r="M73" t="str">
        <f>REPT(" ",3-K73)&amp;IF(K73=0," ","")</f>
        <v xml:space="preserve">    </v>
      </c>
      <c r="O73" s="254"/>
      <c r="P73" s="209">
        <f>IF(ISNUMBER(D73),LOOKUP(D73,$AB$5:$AC$7),D73)</f>
        <v>0</v>
      </c>
      <c r="Q73" s="209">
        <f t="shared" si="11"/>
        <v>0</v>
      </c>
      <c r="R73" s="302" t="str">
        <f t="shared" ca="1" si="10"/>
        <v/>
      </c>
      <c r="S73" s="306">
        <f>H73</f>
        <v>0</v>
      </c>
      <c r="T73" s="146"/>
      <c r="U73" s="217">
        <f ca="1">IF(L73="l","",IF(D73+F73&gt;0,SUM(Z73:AA73),-1))</f>
        <v>-1</v>
      </c>
      <c r="V73" s="389"/>
      <c r="W73" s="55"/>
      <c r="Z73" s="114">
        <f>IF(D73&gt;0,0,TRUNC(F73*T73+Y73*X73))</f>
        <v>0</v>
      </c>
      <c r="AA73" t="b">
        <f>IF($D73=1,SUM(Z$13:Z71)-SUM(AA$13:AA71),IF($D73=2,$AA$6,IF($D73=3,TRUNC($AA$6,-3))))</f>
        <v>0</v>
      </c>
      <c r="AB73">
        <f ca="1">IF(OR(AC$8=0,L72="l",D73&gt;0,U73=-1),0,IF(L72="b",-U73,TRUNC(F72*T73)))</f>
        <v>0</v>
      </c>
      <c r="AC73" t="b">
        <f>IF($D73=1,SUM(AB$13:AB71)-SUM(AC$13:AC71),IF($D73=2,$AA$5,IF($D73=3,TRUNC($AA$5,-3))))</f>
        <v>0</v>
      </c>
    </row>
    <row r="74" spans="1:29" ht="13.5" customHeight="1" thickBot="1" x14ac:dyDescent="0.2">
      <c r="A74" s="257" t="b">
        <f>SUM(F79:F141)&gt;0</f>
        <v>1</v>
      </c>
      <c r="B74" s="257"/>
      <c r="C74" s="257"/>
      <c r="D74" s="257"/>
      <c r="E74" s="257"/>
      <c r="F74" s="257"/>
      <c r="G74" s="100" t="s">
        <v>497</v>
      </c>
      <c r="H74" s="257"/>
      <c r="I74" s="257" t="str">
        <f ca="1">"( "&amp;FIXED(SUM(A$8:A74),0)&amp;" ／ "&amp;FIXED(B$8,0)&amp;" )"</f>
        <v>( 2 ／ 2 )</v>
      </c>
      <c r="J74" s="257"/>
      <c r="K74" s="257"/>
      <c r="L74" s="257"/>
      <c r="M74" s="257"/>
      <c r="N74" s="257"/>
      <c r="O74" s="257"/>
      <c r="P74" s="257"/>
      <c r="Q74" s="257"/>
      <c r="R74" s="257"/>
      <c r="S74" s="257"/>
      <c r="T74" s="257"/>
      <c r="U74" s="258" t="str">
        <f>G74</f>
        <v>電気設備(動力・計装)</v>
      </c>
      <c r="V74" s="390"/>
      <c r="W74" s="257" t="str">
        <f ca="1">I74</f>
        <v>( 2 ／ 2 )</v>
      </c>
    </row>
    <row r="75" spans="1:29" ht="13.5" customHeight="1" x14ac:dyDescent="0.15">
      <c r="C75" s="16"/>
      <c r="D75" s="102"/>
      <c r="E75" s="102"/>
      <c r="F75" s="18"/>
      <c r="G75" s="102"/>
      <c r="H75" s="102"/>
      <c r="I75" s="48"/>
      <c r="O75" s="780" t="s">
        <v>258</v>
      </c>
      <c r="P75" s="47"/>
      <c r="Q75" s="47"/>
      <c r="R75" s="102"/>
      <c r="S75" s="47"/>
      <c r="T75" s="109" t="s">
        <v>88</v>
      </c>
      <c r="U75" s="110"/>
      <c r="V75" s="781" t="s">
        <v>257</v>
      </c>
      <c r="W75" s="48"/>
      <c r="Z75" s="114"/>
    </row>
    <row r="76" spans="1:29" ht="13.5" customHeight="1" x14ac:dyDescent="0.15">
      <c r="C76" s="24" t="s">
        <v>222</v>
      </c>
      <c r="D76" s="6" t="s">
        <v>223</v>
      </c>
      <c r="E76" s="7" t="s">
        <v>224</v>
      </c>
      <c r="F76" s="25"/>
      <c r="G76" s="6" t="s">
        <v>105</v>
      </c>
      <c r="H76" s="6" t="s">
        <v>92</v>
      </c>
      <c r="I76" s="69" t="s">
        <v>225</v>
      </c>
      <c r="O76" s="752"/>
      <c r="P76" s="6" t="s">
        <v>89</v>
      </c>
      <c r="Q76" s="6" t="s">
        <v>90</v>
      </c>
      <c r="R76" s="7" t="s">
        <v>91</v>
      </c>
      <c r="S76" s="6" t="s">
        <v>92</v>
      </c>
      <c r="T76" s="6" t="s">
        <v>93</v>
      </c>
      <c r="U76" s="6" t="s">
        <v>94</v>
      </c>
      <c r="V76" s="782"/>
      <c r="W76" s="106" t="s">
        <v>226</v>
      </c>
    </row>
    <row r="77" spans="1:29" ht="13.5" customHeight="1" thickBot="1" x14ac:dyDescent="0.2">
      <c r="C77" s="71"/>
      <c r="D77" s="40"/>
      <c r="E77" s="40"/>
      <c r="F77" s="36"/>
      <c r="G77" s="40"/>
      <c r="H77" s="40"/>
      <c r="I77" s="52"/>
      <c r="M77" t="s">
        <v>227</v>
      </c>
      <c r="O77" s="753"/>
      <c r="P77" s="39"/>
      <c r="Q77" s="39"/>
      <c r="R77" s="40"/>
      <c r="S77" s="39"/>
      <c r="T77" s="56" t="s">
        <v>96</v>
      </c>
      <c r="U77" s="56" t="s">
        <v>96</v>
      </c>
      <c r="V77" s="783"/>
      <c r="W77" s="52"/>
      <c r="Z77" s="114"/>
    </row>
    <row r="78" spans="1:29" ht="15" customHeight="1" thickTop="1" x14ac:dyDescent="0.15">
      <c r="C78" s="182"/>
      <c r="D78" s="210"/>
      <c r="E78" s="184" t="s">
        <v>356</v>
      </c>
      <c r="F78" s="227"/>
      <c r="G78" s="297" t="str">
        <f ca="1">IF(OR(AC$8=0,L78="b"),"",IF(L78="l",0,"("&amp;FIXED(-F78,K79,0)&amp;M78))</f>
        <v/>
      </c>
      <c r="H78" s="183"/>
      <c r="I78" s="185"/>
      <c r="L78" t="str">
        <f ca="1">CELL("type",F78)</f>
        <v>b</v>
      </c>
      <c r="M78" t="str">
        <f>")"&amp;REPT(" ",2-K79)&amp;IF(K79=0," ","")</f>
        <v xml:space="preserve">) </v>
      </c>
      <c r="O78" s="182"/>
      <c r="P78" s="207">
        <f>D78</f>
        <v>0</v>
      </c>
      <c r="Q78" s="207" t="str">
        <f>E78</f>
        <v>アルミ製</v>
      </c>
      <c r="R78" s="300" t="str">
        <f ca="1">G78</f>
        <v/>
      </c>
      <c r="S78" s="304"/>
      <c r="T78" s="144"/>
      <c r="U78" s="206">
        <f ca="1">IF(OR(AC$8=0,SUM(Z79:AC79)=0),1,IF(L78="l","",SUM(AB79:AC79)))</f>
        <v>1</v>
      </c>
      <c r="V78" s="385"/>
      <c r="W78" s="50"/>
    </row>
    <row r="79" spans="1:29" ht="15" customHeight="1" x14ac:dyDescent="0.15">
      <c r="C79" s="186" t="s">
        <v>355</v>
      </c>
      <c r="D79" s="205" t="s">
        <v>10</v>
      </c>
      <c r="E79" s="188" t="s">
        <v>684</v>
      </c>
      <c r="F79" s="226">
        <v>30</v>
      </c>
      <c r="G79" s="296" t="str">
        <f ca="1">IF(L79="b","",IF(L79="l",0,FIXED(F79,K79,0)&amp;M79))</f>
        <v xml:space="preserve">30.0  </v>
      </c>
      <c r="H79" s="187" t="s">
        <v>229</v>
      </c>
      <c r="I79" s="189"/>
      <c r="K79" s="215">
        <v>1</v>
      </c>
      <c r="L79" t="str">
        <f ca="1">CELL("type",F79)</f>
        <v>v</v>
      </c>
      <c r="M79" t="str">
        <f>REPT(" ",3-K79)&amp;IF(K79=0," ","")</f>
        <v xml:space="preserve">  </v>
      </c>
      <c r="O79" s="182"/>
      <c r="P79" s="208" t="str">
        <f>IF(ISNUMBER(D79),LOOKUP(D79,$AB$5:$AC$7),D79)</f>
        <v>ケーブルラック</v>
      </c>
      <c r="Q79" s="208" t="str">
        <f>E79</f>
        <v>W200×H70㎜</v>
      </c>
      <c r="R79" s="301" t="str">
        <f ca="1">G79</f>
        <v xml:space="preserve">30.0  </v>
      </c>
      <c r="S79" s="305" t="str">
        <f>H79</f>
        <v>ｍ</v>
      </c>
      <c r="T79" s="145">
        <v>2530</v>
      </c>
      <c r="U79" s="216">
        <f ca="1">IF(L79="l","",IF(D79+F79&gt;0,SUM(Z79:AA79),-1))</f>
        <v>75900</v>
      </c>
      <c r="V79" s="386">
        <v>248</v>
      </c>
      <c r="W79" s="107"/>
      <c r="Z79" s="114">
        <f>IF(D79&gt;0,0,TRUNC(F79*T79+Y79*X79))</f>
        <v>75900</v>
      </c>
      <c r="AA79" t="b">
        <f>IF($D79=1,SUM(Z$13:Z77)-SUM(AA$13:AA77),IF($D79=2,$AA$6,IF($D79=3,TRUNC($AA$6,-3))))</f>
        <v>0</v>
      </c>
      <c r="AB79">
        <f ca="1">IF(OR(AC$8=0,L78="l",D79&gt;0,U79=-1),0,IF(L78="b",-U79,TRUNC(F78*T79)))</f>
        <v>0</v>
      </c>
      <c r="AC79" t="b">
        <f>IF($D79=1,SUM(AB$13:AB77)-SUM(AC$13:AC77),IF($D79=2,$AA$5,IF($D79=3,TRUNC($AA$5,-3))))</f>
        <v>0</v>
      </c>
    </row>
    <row r="80" spans="1:29" ht="15" customHeight="1" x14ac:dyDescent="0.15">
      <c r="C80" s="182"/>
      <c r="D80" s="210"/>
      <c r="E80" s="184" t="s">
        <v>356</v>
      </c>
      <c r="F80" s="227"/>
      <c r="G80" s="297" t="str">
        <f ca="1">IF(OR(AC$8=0,L80="b"),"",IF(L80="l",0,"("&amp;FIXED(-F80,K81,0)&amp;M80))</f>
        <v/>
      </c>
      <c r="H80" s="183"/>
      <c r="I80" s="185"/>
      <c r="L80" t="str">
        <f ca="1">CELL("type",F80)</f>
        <v>b</v>
      </c>
      <c r="M80" t="str">
        <f>")"&amp;REPT(" ",2-K81)&amp;IF(K81=0," ","")</f>
        <v xml:space="preserve">) </v>
      </c>
      <c r="O80" s="194" t="s">
        <v>493</v>
      </c>
      <c r="P80" s="207">
        <f>D80</f>
        <v>0</v>
      </c>
      <c r="Q80" s="207" t="str">
        <f>E80</f>
        <v>アルミ製</v>
      </c>
      <c r="R80" s="300" t="str">
        <f ca="1">G80</f>
        <v/>
      </c>
      <c r="S80" s="304"/>
      <c r="T80" s="144"/>
      <c r="U80" s="206">
        <f ca="1">IF(OR(AC$8=0,SUM(Z81:AC81)=0),1,IF(L80="l","",SUM(AB81:AC81)))</f>
        <v>1</v>
      </c>
      <c r="V80" s="385"/>
      <c r="W80" s="50"/>
    </row>
    <row r="81" spans="3:29" ht="15" customHeight="1" x14ac:dyDescent="0.15">
      <c r="C81" s="186"/>
      <c r="D81" s="205" t="s">
        <v>101</v>
      </c>
      <c r="E81" s="188" t="s">
        <v>570</v>
      </c>
      <c r="F81" s="226">
        <v>3.3</v>
      </c>
      <c r="G81" s="296" t="str">
        <f ca="1">IF(L81="b","",IF(L81="l",0,FIXED(F81,K81,0)&amp;M81))</f>
        <v xml:space="preserve">3.3  </v>
      </c>
      <c r="H81" s="187" t="s">
        <v>229</v>
      </c>
      <c r="I81" s="189"/>
      <c r="K81" s="215">
        <v>1</v>
      </c>
      <c r="L81" t="str">
        <f ca="1">CELL("type",F81)</f>
        <v>v</v>
      </c>
      <c r="M81" t="str">
        <f>REPT(" ",3-K81)&amp;IF(K81=0," ","")</f>
        <v xml:space="preserve">  </v>
      </c>
      <c r="O81" s="194" t="s">
        <v>447</v>
      </c>
      <c r="P81" s="208" t="str">
        <f>IF(ISNUMBER(D81),LOOKUP(D81,$AB$5:$AC$7),D81)</f>
        <v>〃</v>
      </c>
      <c r="Q81" s="208" t="str">
        <f>E81</f>
        <v>W300×H70㎜</v>
      </c>
      <c r="R81" s="301" t="str">
        <f ca="1">G81</f>
        <v xml:space="preserve">3.3  </v>
      </c>
      <c r="S81" s="305" t="str">
        <f>H81</f>
        <v>ｍ</v>
      </c>
      <c r="T81" s="145">
        <v>2746</v>
      </c>
      <c r="U81" s="216">
        <f ca="1">IF(L81="l","",IF(D81+F81&gt;0,SUM(Z81:AA81),-1))</f>
        <v>9061</v>
      </c>
      <c r="V81" s="386">
        <v>249</v>
      </c>
      <c r="W81" s="107"/>
      <c r="Z81" s="114">
        <f>IF(D81&gt;0,0,TRUNC(F81*T81+Y81*X81))</f>
        <v>9061</v>
      </c>
      <c r="AA81" t="b">
        <f>IF($D81=1,SUM(Z$13:Z79)-SUM(AA$13:AA79),IF($D81=2,$AA$6,IF($D81=3,TRUNC($AA$6,-3))))</f>
        <v>0</v>
      </c>
      <c r="AB81">
        <f ca="1">IF(OR(AC$8=0,L80="l",D81&gt;0,U81=-1),0,IF(L80="b",-U81,TRUNC(F80*T81)))</f>
        <v>0</v>
      </c>
      <c r="AC81" t="b">
        <f>IF($D81=1,SUM(AB$13:AB79)-SUM(AC$13:AC79),IF($D81=2,$AA$5,IF($D81=3,TRUNC($AA$5,-3))))</f>
        <v>0</v>
      </c>
    </row>
    <row r="82" spans="3:29" ht="15" customHeight="1" x14ac:dyDescent="0.15">
      <c r="C82" s="182"/>
      <c r="D82" s="210"/>
      <c r="E82" s="184" t="s">
        <v>356</v>
      </c>
      <c r="F82" s="227"/>
      <c r="G82" s="297" t="str">
        <f ca="1">IF(OR(AC$8=0,L82="b"),"",IF(L82="l",0,"("&amp;FIXED(-F82,K83,0)&amp;M82))</f>
        <v/>
      </c>
      <c r="H82" s="183"/>
      <c r="I82" s="185"/>
      <c r="L82" t="str">
        <f t="shared" ref="L82:L89" ca="1" si="12">CELL("type",F82)</f>
        <v>b</v>
      </c>
      <c r="M82" t="str">
        <f>")"&amp;REPT(" ",2-K83)&amp;IF(K83=0," ","")</f>
        <v xml:space="preserve">) </v>
      </c>
      <c r="O82" s="194" t="s">
        <v>494</v>
      </c>
      <c r="P82" s="207">
        <f>D82</f>
        <v>0</v>
      </c>
      <c r="Q82" s="207" t="str">
        <f t="shared" ref="Q82:Q87" si="13">E82</f>
        <v>アルミ製</v>
      </c>
      <c r="R82" s="300" t="str">
        <f t="shared" ref="R82:R89" ca="1" si="14">G82</f>
        <v/>
      </c>
      <c r="S82" s="304"/>
      <c r="T82" s="144"/>
      <c r="U82" s="206">
        <f ca="1">IF(OR(AC$8=0,SUM(Z83:AC83)=0),1,IF(L82="l","",SUM(AB83:AC83)))</f>
        <v>1</v>
      </c>
      <c r="V82" s="385"/>
      <c r="W82" s="50"/>
    </row>
    <row r="83" spans="3:29" ht="15" customHeight="1" x14ac:dyDescent="0.15">
      <c r="C83" s="186"/>
      <c r="D83" s="205" t="s">
        <v>101</v>
      </c>
      <c r="E83" s="188" t="s">
        <v>571</v>
      </c>
      <c r="F83" s="226">
        <v>22.3</v>
      </c>
      <c r="G83" s="296" t="str">
        <f ca="1">IF(L83="b","",IF(L83="l",0,FIXED(F83,K83,0)&amp;M83))</f>
        <v xml:space="preserve">22.3  </v>
      </c>
      <c r="H83" s="187" t="s">
        <v>229</v>
      </c>
      <c r="I83" s="189"/>
      <c r="K83" s="215">
        <v>1</v>
      </c>
      <c r="L83" t="str">
        <f t="shared" ca="1" si="12"/>
        <v>v</v>
      </c>
      <c r="M83" t="str">
        <f>REPT(" ",3-K83)&amp;IF(K83=0," ","")</f>
        <v xml:space="preserve">  </v>
      </c>
      <c r="O83" s="194" t="s">
        <v>37</v>
      </c>
      <c r="P83" s="208" t="str">
        <f>IF(ISNUMBER(D83),LOOKUP(D83,$AB$5:$AC$7),D83)</f>
        <v>〃</v>
      </c>
      <c r="Q83" s="208" t="str">
        <f t="shared" si="13"/>
        <v>W400×H70㎜</v>
      </c>
      <c r="R83" s="301" t="str">
        <f t="shared" ca="1" si="14"/>
        <v xml:space="preserve">22.3  </v>
      </c>
      <c r="S83" s="305" t="str">
        <f>H83</f>
        <v>ｍ</v>
      </c>
      <c r="T83" s="145">
        <v>2943</v>
      </c>
      <c r="U83" s="216">
        <f ca="1">IF(L83="l","",IF(D83+F83&gt;0,SUM(Z83:AA83),-1))</f>
        <v>65628</v>
      </c>
      <c r="V83" s="386">
        <v>250</v>
      </c>
      <c r="W83" s="107"/>
      <c r="Z83" s="114">
        <f>IF(D83&gt;0,0,TRUNC(F83*T83+Y83*X83))</f>
        <v>65628</v>
      </c>
      <c r="AA83" t="b">
        <f>IF($D83=1,SUM(Z$13:Z81)-SUM(AA$13:AA81),IF($D83=2,$AA$6,IF($D83=3,TRUNC($AA$6,-3))))</f>
        <v>0</v>
      </c>
      <c r="AB83">
        <f ca="1">IF(OR(AC$8=0,L82="l",D83&gt;0,U83=-1),0,IF(L82="b",-U83,TRUNC(F82*T83)))</f>
        <v>0</v>
      </c>
      <c r="AC83" t="b">
        <f>IF($D83=1,SUM(AB$13:AB81)-SUM(AC$13:AC81),IF($D83=2,$AA$5,IF($D83=3,TRUNC($AA$5,-3))))</f>
        <v>0</v>
      </c>
    </row>
    <row r="84" spans="3:29" ht="15" customHeight="1" x14ac:dyDescent="0.15">
      <c r="C84" s="182"/>
      <c r="D84" s="210"/>
      <c r="E84" s="184" t="s">
        <v>356</v>
      </c>
      <c r="F84" s="227"/>
      <c r="G84" s="297" t="str">
        <f ca="1">IF(OR(AC$8=0,L84="b"),"",IF(L84="l",0,"("&amp;FIXED(-F84,K85,0)&amp;M84))</f>
        <v/>
      </c>
      <c r="H84" s="183"/>
      <c r="I84" s="185"/>
      <c r="L84" t="str">
        <f t="shared" ca="1" si="12"/>
        <v>b</v>
      </c>
      <c r="M84" t="str">
        <f>")"&amp;REPT(" ",2-K85)&amp;IF(K85=0," ","")</f>
        <v xml:space="preserve">) </v>
      </c>
      <c r="O84" s="194" t="s">
        <v>495</v>
      </c>
      <c r="P84" s="207">
        <f>D84</f>
        <v>0</v>
      </c>
      <c r="Q84" s="207" t="str">
        <f t="shared" si="13"/>
        <v>アルミ製</v>
      </c>
      <c r="R84" s="300" t="str">
        <f t="shared" ca="1" si="14"/>
        <v/>
      </c>
      <c r="S84" s="304"/>
      <c r="T84" s="144"/>
      <c r="U84" s="206">
        <f ca="1">IF(OR(AC$8=0,SUM(Z85:AC85)=0),1,IF(L84="l","",SUM(AB85:AC85)))</f>
        <v>1</v>
      </c>
      <c r="V84" s="385"/>
      <c r="W84" s="50"/>
    </row>
    <row r="85" spans="3:29" ht="15" customHeight="1" x14ac:dyDescent="0.15">
      <c r="C85" s="186"/>
      <c r="D85" s="205" t="s">
        <v>101</v>
      </c>
      <c r="E85" s="188" t="s">
        <v>572</v>
      </c>
      <c r="F85" s="226">
        <v>4.5</v>
      </c>
      <c r="G85" s="296" t="str">
        <f ca="1">IF(L85="b","",IF(L85="l",0,FIXED(F85,K85,0)&amp;M85))</f>
        <v xml:space="preserve">4.5  </v>
      </c>
      <c r="H85" s="187" t="s">
        <v>229</v>
      </c>
      <c r="I85" s="189"/>
      <c r="K85" s="215">
        <v>1</v>
      </c>
      <c r="L85" t="str">
        <f t="shared" ca="1" si="12"/>
        <v>v</v>
      </c>
      <c r="M85" t="str">
        <f>REPT(" ",3-K85)&amp;IF(K85=0," ","")</f>
        <v xml:space="preserve">  </v>
      </c>
      <c r="O85" s="194" t="s">
        <v>494</v>
      </c>
      <c r="P85" s="208" t="str">
        <f>IF(ISNUMBER(D85),LOOKUP(D85,$AB$5:$AC$7),D85)</f>
        <v>〃</v>
      </c>
      <c r="Q85" s="208" t="str">
        <f t="shared" si="13"/>
        <v>W600×H70㎜</v>
      </c>
      <c r="R85" s="301" t="str">
        <f t="shared" ca="1" si="14"/>
        <v xml:space="preserve">4.5  </v>
      </c>
      <c r="S85" s="305" t="str">
        <f>H85</f>
        <v>ｍ</v>
      </c>
      <c r="T85" s="145">
        <v>3400</v>
      </c>
      <c r="U85" s="216">
        <f ca="1">IF(L85="l","",IF(D85+F85&gt;0,SUM(Z85:AA85),-1))</f>
        <v>15300</v>
      </c>
      <c r="V85" s="386">
        <v>252</v>
      </c>
      <c r="W85" s="107"/>
      <c r="Z85" s="114">
        <f>IF(D85&gt;0,0,TRUNC(F85*T85+Y85*X85))</f>
        <v>15300</v>
      </c>
      <c r="AA85" t="b">
        <f>IF($D85=1,SUM(Z$13:Z83)-SUM(AA$13:AA83),IF($D85=2,$AA$6,IF($D85=3,TRUNC($AA$6,-3))))</f>
        <v>0</v>
      </c>
      <c r="AB85">
        <f ca="1">IF(OR(AC$8=0,L84="l",D85&gt;0,U85=-1),0,IF(L84="b",-U85,TRUNC(F84*T85)))</f>
        <v>0</v>
      </c>
      <c r="AC85" t="b">
        <f>IF($D85=1,SUM(AB$13:AB83)-SUM(AC$13:AC83),IF($D85=2,$AA$5,IF($D85=3,TRUNC($AA$5,-3))))</f>
        <v>0</v>
      </c>
    </row>
    <row r="86" spans="3:29" ht="15" customHeight="1" x14ac:dyDescent="0.15">
      <c r="C86" s="182"/>
      <c r="D86" s="210"/>
      <c r="E86" s="184"/>
      <c r="F86" s="227"/>
      <c r="G86" s="297" t="str">
        <f ca="1">IF(OR(AC$8=0,L86="b"),"",IF(L86="l",0,"("&amp;FIXED(-F86,K87,0)&amp;M86))</f>
        <v/>
      </c>
      <c r="H86" s="183"/>
      <c r="I86" s="185"/>
      <c r="L86" t="str">
        <f t="shared" ca="1" si="12"/>
        <v>b</v>
      </c>
      <c r="M86" t="str">
        <f>")"&amp;REPT(" ",2-K87)&amp;IF(K87=0," ","")</f>
        <v xml:space="preserve">)   </v>
      </c>
      <c r="O86" s="194" t="s">
        <v>496</v>
      </c>
      <c r="P86" s="207">
        <f>D86</f>
        <v>0</v>
      </c>
      <c r="Q86" s="207">
        <f t="shared" si="13"/>
        <v>0</v>
      </c>
      <c r="R86" s="300" t="str">
        <f t="shared" ca="1" si="14"/>
        <v/>
      </c>
      <c r="S86" s="304"/>
      <c r="T86" s="144"/>
      <c r="U86" s="206">
        <f ca="1">IF(OR(AC$8=0,SUM(Z87:AC87)=0),1,IF(L86="l","",SUM(AB87:AC87)))</f>
        <v>1</v>
      </c>
      <c r="V86" s="385"/>
      <c r="W86" s="50" t="str">
        <f ca="1">IF(OR(AC$8=0,SUM(Z87:AC87)=0),"",CONCATENATE("(",FIXED(-#REF!,0),")"))</f>
        <v/>
      </c>
      <c r="Y86">
        <f ca="1">SUM(AB79:AB85)</f>
        <v>0</v>
      </c>
    </row>
    <row r="87" spans="3:29" ht="15" customHeight="1" x14ac:dyDescent="0.15">
      <c r="C87" s="186"/>
      <c r="D87" s="205" t="s">
        <v>233</v>
      </c>
      <c r="E87" s="188" t="s">
        <v>11</v>
      </c>
      <c r="F87" s="226">
        <v>1</v>
      </c>
      <c r="G87" s="296" t="str">
        <f ca="1">IF(L87="b","",IF(L87="l",0,FIXED(F87,K87,0)&amp;M87))</f>
        <v xml:space="preserve">1    </v>
      </c>
      <c r="H87" s="187" t="s">
        <v>99</v>
      </c>
      <c r="I87" s="189"/>
      <c r="K87" s="215"/>
      <c r="L87" t="str">
        <f t="shared" ca="1" si="12"/>
        <v>v</v>
      </c>
      <c r="M87" t="str">
        <f>REPT(" ",3-K87)&amp;IF(K87=0," ","")</f>
        <v xml:space="preserve">    </v>
      </c>
      <c r="O87" s="194" t="s">
        <v>360</v>
      </c>
      <c r="P87" s="208" t="str">
        <f>IF(ISNUMBER(D87),LOOKUP(D87,$AB$5:$AC$7),D87)</f>
        <v>付  属  材  料</v>
      </c>
      <c r="Q87" s="208" t="str">
        <f t="shared" si="13"/>
        <v>上記材料費の 70％</v>
      </c>
      <c r="R87" s="301" t="str">
        <f t="shared" ca="1" si="14"/>
        <v xml:space="preserve">1    </v>
      </c>
      <c r="S87" s="305" t="str">
        <f>H87</f>
        <v>式</v>
      </c>
      <c r="T87" s="145"/>
      <c r="U87" s="216">
        <f ca="1">IF(L87="l","",IF(D87+F87&gt;0,SUM(Z87:AA87),-1))</f>
        <v>116122</v>
      </c>
      <c r="V87" s="386"/>
      <c r="W87" s="107" t="str">
        <f>TEXT(Y87," #,0×")&amp;TEXT(X87,"0.00＝")</f>
        <v xml:space="preserve"> 165,889×0.70＝</v>
      </c>
      <c r="X87">
        <f>VALUE(RIGHT(E87,4))</f>
        <v>0.7</v>
      </c>
      <c r="Y87">
        <f>SUM(Z79:Z85)</f>
        <v>165889</v>
      </c>
      <c r="Z87" s="114">
        <f>IF(D87&gt;0,0,TRUNC(F87*T87+Y87*X87))</f>
        <v>116122</v>
      </c>
      <c r="AA87" t="b">
        <f>IF($D87=1,SUM(Z$13:Z85)-SUM(AA$13:AA85),IF($D87=2,$AA$6,IF($D87=3,TRUNC($AA$6,-3))))</f>
        <v>0</v>
      </c>
      <c r="AB87">
        <f ca="1">IF(OR(AC$8=0,L86="l",D87&gt;0,U87=-1),0,IF(L86="b",-U87,TRUNC(F86*T87)))</f>
        <v>0</v>
      </c>
      <c r="AC87" t="b">
        <f>IF($D87=1,SUM(AB$13:AB85)-SUM(AC$13:AC85),IF($D87=2,$AA$5,IF($D87=3,TRUNC($AA$5,-3))))</f>
        <v>0</v>
      </c>
    </row>
    <row r="88" spans="3:29" ht="15" customHeight="1" x14ac:dyDescent="0.15">
      <c r="C88" s="182"/>
      <c r="D88" s="210"/>
      <c r="E88" s="184"/>
      <c r="F88" s="227"/>
      <c r="G88" s="297" t="str">
        <f ca="1">IF(OR(AC$8=0,L88="b"),"",IF(L88="l",0,"("&amp;FIXED(-F88,K89,0)&amp;M88))</f>
        <v/>
      </c>
      <c r="H88" s="183"/>
      <c r="I88" s="185"/>
      <c r="L88" t="str">
        <f t="shared" ca="1" si="12"/>
        <v>b</v>
      </c>
      <c r="M88" t="str">
        <f>")"&amp;REPT(" ",2-K89)&amp;IF(K89=0," ","")</f>
        <v xml:space="preserve">) </v>
      </c>
      <c r="O88" s="194"/>
      <c r="P88" s="207">
        <f>D88</f>
        <v>0</v>
      </c>
      <c r="Q88" s="207">
        <f>E88</f>
        <v>0</v>
      </c>
      <c r="R88" s="300" t="str">
        <f t="shared" ca="1" si="14"/>
        <v/>
      </c>
      <c r="S88" s="304"/>
      <c r="T88" s="144"/>
      <c r="U88" s="206">
        <f ca="1">IF(OR(AC$8=0,SUM(Z89:AC89)=0),1,IF(L88="l","",SUM(AB89:AC89)))</f>
        <v>1</v>
      </c>
      <c r="V88" s="385"/>
      <c r="W88" s="416"/>
    </row>
    <row r="89" spans="3:29" ht="15" customHeight="1" x14ac:dyDescent="0.15">
      <c r="C89" s="186"/>
      <c r="D89" s="205"/>
      <c r="E89" s="188"/>
      <c r="F89" s="226"/>
      <c r="G89" s="296" t="str">
        <f ca="1">IF(L89="b","",IF(L89="l",0,FIXED(F89,K89,0)&amp;M89))</f>
        <v/>
      </c>
      <c r="H89" s="187" t="s">
        <v>8</v>
      </c>
      <c r="I89" s="189"/>
      <c r="K89" s="215">
        <v>1</v>
      </c>
      <c r="L89" t="str">
        <f t="shared" ca="1" si="12"/>
        <v>b</v>
      </c>
      <c r="M89" t="str">
        <f>REPT(" ",3-K89)&amp;IF(K89=0," ","")</f>
        <v xml:space="preserve">  </v>
      </c>
      <c r="O89" s="194"/>
      <c r="P89" s="208">
        <f>IF(ISNUMBER(D89),LOOKUP(D89,$AB$5:$AC$7),D89)</f>
        <v>0</v>
      </c>
      <c r="Q89" s="208">
        <f>E89</f>
        <v>0</v>
      </c>
      <c r="R89" s="301" t="str">
        <f t="shared" ca="1" si="14"/>
        <v/>
      </c>
      <c r="S89" s="305" t="str">
        <f>H89</f>
        <v>ｍ</v>
      </c>
      <c r="T89" s="502"/>
      <c r="U89" s="216">
        <f ca="1">IF(L89="l","",IF(D89+F89&gt;0,SUM(Z89:AA89),-1))</f>
        <v>-1</v>
      </c>
      <c r="V89" s="493"/>
      <c r="W89" s="417"/>
      <c r="Z89" s="114">
        <f>IF(D89&gt;0,0,TRUNC(F89*T89+Y89*X89))</f>
        <v>0</v>
      </c>
      <c r="AA89" t="b">
        <f>IF($D89=1,SUM(Z$13:Z87)-SUM(AA$13:AA87),IF($D89=2,$AA$6,IF($D89=3,TRUNC($AA$6,-3))))</f>
        <v>0</v>
      </c>
      <c r="AB89">
        <f ca="1">IF(OR(AC$8=0,L88="l",D89&gt;0,U89=-1),0,IF(L88="b",-U89,TRUNC(F88*T89)))</f>
        <v>0</v>
      </c>
      <c r="AC89" t="b">
        <f>IF($D89=1,SUM(AB$13:AB87)-SUM(AC$13:AC87),IF($D89=2,$AA$5,IF($D89=3,TRUNC($AA$5,-3))))</f>
        <v>0</v>
      </c>
    </row>
    <row r="90" spans="3:29" ht="15" customHeight="1" x14ac:dyDescent="0.15">
      <c r="C90" s="182"/>
      <c r="D90" s="210"/>
      <c r="E90" s="184"/>
      <c r="F90" s="227"/>
      <c r="G90" s="297" t="str">
        <f ca="1">IF(OR(AC$8=0,L90="b"),"",IF(L90="l",0,"("&amp;FIXED(-F90,K91,0)&amp;M90))</f>
        <v/>
      </c>
      <c r="H90" s="183"/>
      <c r="I90" s="185"/>
      <c r="L90" t="str">
        <f ca="1">CELL("type",F90)</f>
        <v>b</v>
      </c>
      <c r="M90" t="str">
        <f>")"&amp;REPT(" ",2-K91)&amp;IF(K91=0," ","")</f>
        <v xml:space="preserve">)   </v>
      </c>
      <c r="O90" s="194"/>
      <c r="P90" s="207">
        <f>D90</f>
        <v>0</v>
      </c>
      <c r="Q90" s="207">
        <f>E90</f>
        <v>0</v>
      </c>
      <c r="R90" s="300" t="str">
        <f ca="1">G90</f>
        <v/>
      </c>
      <c r="S90" s="304"/>
      <c r="T90" s="144"/>
      <c r="U90" s="206">
        <f ca="1">IF(OR(AC$8=0,SUM(Z91:AC91)=0),1,IF(L90="l","",SUM(AB91:AC91)))</f>
        <v>1</v>
      </c>
      <c r="V90" s="385"/>
      <c r="W90" s="197" t="str">
        <f>IF(OR(AC$8=0,Y90+Y91=0),"",TEXT(-Y90,"(#,0)"))</f>
        <v/>
      </c>
    </row>
    <row r="91" spans="3:29" ht="15" customHeight="1" x14ac:dyDescent="0.15">
      <c r="C91" s="186"/>
      <c r="D91" s="205"/>
      <c r="E91" s="188"/>
      <c r="F91" s="226"/>
      <c r="G91" s="296" t="str">
        <f ca="1">IF(L91="b","",IF(L91="l",0,FIXED(F91,K91,0)&amp;M91))</f>
        <v/>
      </c>
      <c r="H91" s="187"/>
      <c r="I91" s="189"/>
      <c r="K91" s="215"/>
      <c r="L91" t="str">
        <f ca="1">CELL("type",F91)</f>
        <v>b</v>
      </c>
      <c r="M91" t="str">
        <f>REPT(" ",3-K91)&amp;IF(K91=0," ","")</f>
        <v xml:space="preserve">    </v>
      </c>
      <c r="O91" s="194"/>
      <c r="P91" s="208">
        <f>IF(ISNUMBER(D91),LOOKUP(D91,$AB$5:$AC$7),D91)</f>
        <v>0</v>
      </c>
      <c r="Q91" s="208">
        <f>E91</f>
        <v>0</v>
      </c>
      <c r="R91" s="301" t="str">
        <f ca="1">G91</f>
        <v/>
      </c>
      <c r="S91" s="305">
        <f>H91</f>
        <v>0</v>
      </c>
      <c r="T91" s="145"/>
      <c r="U91" s="216">
        <f ca="1">IF(L91="l","",IF(D91+F91&gt;0,SUM(Z91:AA91),-1))</f>
        <v>-1</v>
      </c>
      <c r="V91" s="386"/>
      <c r="W91" s="142"/>
      <c r="Y91" s="114"/>
      <c r="Z91" s="114">
        <f>IF(D91&gt;0,0,TRUNC(F91*T91+Y91*X91))</f>
        <v>0</v>
      </c>
      <c r="AA91" t="b">
        <f>IF($D91=1,SUM(Z$13:Z89)-SUM(AA$13:AA89),IF($D91=2,$AA$6,IF($D91=3,TRUNC($AA$6,-3))))</f>
        <v>0</v>
      </c>
      <c r="AB91">
        <f ca="1">IF(OR(AC$8=0,L90="l",D91&gt;0,U91=-1),0,IF(L90="b",-U91,TRUNC(F90*T91)))</f>
        <v>0</v>
      </c>
      <c r="AC91" t="b">
        <f>IF($D91=1,SUM(AB$13:AB89)-SUM(AC$13:AC89),IF($D91=2,$AA$5,IF($D91=3,TRUNC($AA$5,-3))))</f>
        <v>0</v>
      </c>
    </row>
    <row r="92" spans="3:29" ht="15" customHeight="1" x14ac:dyDescent="0.15">
      <c r="C92" s="182"/>
      <c r="D92" s="210"/>
      <c r="E92" s="184"/>
      <c r="F92" s="227"/>
      <c r="G92" s="297" t="str">
        <f ca="1">IF(OR(AC$8=0,L92="b"),"",IF(L92="l",0,"("&amp;FIXED(-F92,K93,0)&amp;M92))</f>
        <v/>
      </c>
      <c r="H92" s="183"/>
      <c r="I92" s="185"/>
      <c r="L92" t="str">
        <f t="shared" ref="L92:L127" ca="1" si="15">CELL("type",F92)</f>
        <v>b</v>
      </c>
      <c r="M92" t="str">
        <f>")"&amp;REPT(" ",2-K93)&amp;IF(K93=0," ","")</f>
        <v xml:space="preserve">)   </v>
      </c>
      <c r="O92" s="194"/>
      <c r="P92" s="207">
        <f>D92</f>
        <v>0</v>
      </c>
      <c r="Q92" s="207">
        <f>E92</f>
        <v>0</v>
      </c>
      <c r="R92" s="300" t="str">
        <f t="shared" ref="R92:R127" ca="1" si="16">G92</f>
        <v/>
      </c>
      <c r="S92" s="304"/>
      <c r="T92" s="144"/>
      <c r="U92" s="206">
        <f ca="1">IF(OR(AC$8=0,SUM(Z93:AC93)=0),1,IF(L92="l","",SUM(AB93:AC93)))</f>
        <v>1</v>
      </c>
      <c r="V92" s="385"/>
      <c r="W92" s="197" t="str">
        <f>IF(OR(AC$8=0,Y92+Y93=0),"",TEXT(-Y92,"(#,0)"))</f>
        <v/>
      </c>
    </row>
    <row r="93" spans="3:29" ht="15" customHeight="1" x14ac:dyDescent="0.15">
      <c r="C93" s="186"/>
      <c r="D93" s="205">
        <v>1</v>
      </c>
      <c r="E93" s="188"/>
      <c r="F93" s="226"/>
      <c r="G93" s="296" t="str">
        <f ca="1">IF(L93="b","",IF(L93="l",0,FIXED(F93,K93,0)&amp;M93))</f>
        <v/>
      </c>
      <c r="H93" s="187"/>
      <c r="I93" s="189"/>
      <c r="K93" s="215"/>
      <c r="L93" t="str">
        <f t="shared" ca="1" si="15"/>
        <v>b</v>
      </c>
      <c r="M93" t="str">
        <f>REPT(" ",3-K93)&amp;IF(K93=0," ","")</f>
        <v xml:space="preserve">    </v>
      </c>
      <c r="O93" s="194"/>
      <c r="P93" s="208" t="str">
        <f>IF(ISNUMBER(D93),LOOKUP(D93,$AB$5:$AC$7),D93)</f>
        <v>小    　計</v>
      </c>
      <c r="Q93" s="208">
        <f>E93</f>
        <v>0</v>
      </c>
      <c r="R93" s="301" t="str">
        <f t="shared" ca="1" si="16"/>
        <v/>
      </c>
      <c r="S93" s="305">
        <f>H93</f>
        <v>0</v>
      </c>
      <c r="T93" s="145"/>
      <c r="U93" s="216">
        <f ca="1">IF(L93="l","",IF(D93+F93&gt;0,SUM(Z93:AA93),-1))</f>
        <v>282011</v>
      </c>
      <c r="V93" s="386"/>
      <c r="W93" s="142"/>
      <c r="Y93" s="114"/>
      <c r="Z93" s="114">
        <f>IF(D93&gt;0,0,TRUNC(F93*T93+Y93*X93))</f>
        <v>0</v>
      </c>
      <c r="AA93">
        <f>IF($D93=1,SUM(Z$13:Z91)-SUM(AA$13:AA91),IF($D93=2,$AA$6,IF($D93=3,TRUNC($AA$6,-3))))</f>
        <v>282011</v>
      </c>
      <c r="AB93">
        <f ca="1">IF(OR(AC$8=0,L92="l",D93&gt;0,U93=-1),0,IF(L92="b",-U93,TRUNC(F92*T93)))</f>
        <v>0</v>
      </c>
      <c r="AC93">
        <f ca="1">IF($D93=1,SUM(AB$13:AB91)-SUM(AC$13:AC91),IF($D93=2,$AA$5,IF($D93=3,TRUNC($AA$5,-3))))</f>
        <v>0</v>
      </c>
    </row>
    <row r="94" spans="3:29" ht="15" customHeight="1" x14ac:dyDescent="0.15">
      <c r="C94" s="182"/>
      <c r="D94" s="210"/>
      <c r="E94" s="184" t="s">
        <v>573</v>
      </c>
      <c r="F94" s="227"/>
      <c r="G94" s="297" t="str">
        <f ca="1">IF(OR(AC$8=0,L94="b"),"",IF(L94="l",0,"("&amp;FIXED(-F94,K95,0)&amp;M94))</f>
        <v/>
      </c>
      <c r="H94" s="183"/>
      <c r="I94" s="185"/>
      <c r="L94" t="str">
        <f t="shared" ref="L94:L103" ca="1" si="17">CELL("type",F94)</f>
        <v>b</v>
      </c>
      <c r="M94" t="str">
        <f>")"&amp;REPT(" ",2-K95)&amp;IF(K95=0," ","")</f>
        <v xml:space="preserve">)   </v>
      </c>
      <c r="O94" s="194"/>
      <c r="P94" s="207">
        <f>D94</f>
        <v>0</v>
      </c>
      <c r="Q94" s="207" t="str">
        <f t="shared" ref="Q94:Q103" si="18">E94</f>
        <v xml:space="preserve">VE製 防水型 </v>
      </c>
      <c r="R94" s="300" t="str">
        <f t="shared" ref="R94:R103" ca="1" si="19">G94</f>
        <v/>
      </c>
      <c r="S94" s="304"/>
      <c r="T94" s="144"/>
      <c r="U94" s="206">
        <f ca="1">IF(OR(AC$8=0,SUM(Z95:AC95)=0),1,IF(L94="l","",SUM(AB95:AC95)))</f>
        <v>1</v>
      </c>
      <c r="V94" s="385"/>
      <c r="W94" s="50"/>
    </row>
    <row r="95" spans="3:29" ht="15" customHeight="1" x14ac:dyDescent="0.15">
      <c r="C95" s="186" t="s">
        <v>56</v>
      </c>
      <c r="D95" s="205" t="s">
        <v>357</v>
      </c>
      <c r="E95" s="188" t="s">
        <v>574</v>
      </c>
      <c r="F95" s="226">
        <v>7</v>
      </c>
      <c r="G95" s="296" t="str">
        <f ca="1">IF(L95="b","",IF(L95="l",0,FIXED(F95,K95,0)&amp;M95))</f>
        <v xml:space="preserve">7    </v>
      </c>
      <c r="H95" s="187" t="s">
        <v>252</v>
      </c>
      <c r="I95" s="189"/>
      <c r="K95" s="215"/>
      <c r="L95" t="str">
        <f t="shared" ca="1" si="17"/>
        <v>v</v>
      </c>
      <c r="M95" t="str">
        <f>REPT(" ",3-K95)&amp;IF(K95=0," ","")</f>
        <v xml:space="preserve">    </v>
      </c>
      <c r="O95" s="194"/>
      <c r="P95" s="208" t="str">
        <f>IF(ISNUMBER(D95),LOOKUP(D95,$AB$5:$AC$7),D95)</f>
        <v>プ ル ボ ッ ク ス</v>
      </c>
      <c r="Q95" s="208" t="str">
        <f t="shared" si="18"/>
        <v>150□×100</v>
      </c>
      <c r="R95" s="301" t="str">
        <f t="shared" ca="1" si="19"/>
        <v xml:space="preserve">7    </v>
      </c>
      <c r="S95" s="305" t="str">
        <f>H95</f>
        <v>個</v>
      </c>
      <c r="T95" s="145">
        <v>1140</v>
      </c>
      <c r="U95" s="216">
        <f ca="1">IF(L95="l","",IF(D95+F95&gt;0,SUM(Z95:AA95),-1))</f>
        <v>7980</v>
      </c>
      <c r="V95" s="386">
        <v>172</v>
      </c>
      <c r="W95" s="107"/>
      <c r="Z95" s="114">
        <f>IF(D95&gt;0,0,TRUNC(F95*T95+Y95*X95))</f>
        <v>7980</v>
      </c>
      <c r="AA95" t="b">
        <f>IF($D95=1,SUM(Z$13:Z93)-SUM(AA$13:AA93),IF($D95=2,$AA$6,IF($D95=3,TRUNC($AA$6,-3))))</f>
        <v>0</v>
      </c>
      <c r="AB95">
        <f ca="1">IF(OR(AC$8=0,L94="l",D95&gt;0,U95=-1),0,IF(L94="b",-U95,TRUNC(F94*T95)))</f>
        <v>0</v>
      </c>
      <c r="AC95" t="b">
        <f>IF($D95=1,SUM(AB$13:AB93)-SUM(AC$13:AC93),IF($D95=2,$AA$5,IF($D95=3,TRUNC($AA$5,-3))))</f>
        <v>0</v>
      </c>
    </row>
    <row r="96" spans="3:29" ht="15" customHeight="1" x14ac:dyDescent="0.15">
      <c r="C96" s="182"/>
      <c r="D96" s="210"/>
      <c r="E96" s="184" t="s">
        <v>573</v>
      </c>
      <c r="F96" s="227"/>
      <c r="G96" s="297" t="str">
        <f ca="1">IF(OR(AC$8=0,L96="b"),"",IF(L96="l",0,"("&amp;FIXED(-F96,K97,0)&amp;M96))</f>
        <v/>
      </c>
      <c r="H96" s="183"/>
      <c r="I96" s="185"/>
      <c r="L96" t="str">
        <f t="shared" ca="1" si="17"/>
        <v>b</v>
      </c>
      <c r="M96" t="str">
        <f>")"&amp;REPT(" ",2-K97)&amp;IF(K97=0," ","")</f>
        <v xml:space="preserve">)   </v>
      </c>
      <c r="O96" s="194" t="s">
        <v>329</v>
      </c>
      <c r="P96" s="207">
        <f>D96</f>
        <v>0</v>
      </c>
      <c r="Q96" s="207" t="str">
        <f t="shared" si="18"/>
        <v xml:space="preserve">VE製 防水型 </v>
      </c>
      <c r="R96" s="300" t="str">
        <f t="shared" ca="1" si="19"/>
        <v/>
      </c>
      <c r="S96" s="304"/>
      <c r="T96" s="144"/>
      <c r="U96" s="206">
        <f ca="1">IF(OR(AC$8=0,SUM(Z97:AC97)=0),1,IF(L96="l","",SUM(AB97:AC97)))</f>
        <v>1</v>
      </c>
      <c r="V96" s="385"/>
      <c r="W96" s="50"/>
    </row>
    <row r="97" spans="3:29" ht="15" customHeight="1" x14ac:dyDescent="0.15">
      <c r="C97" s="186"/>
      <c r="D97" s="205" t="s">
        <v>101</v>
      </c>
      <c r="E97" s="188" t="s">
        <v>575</v>
      </c>
      <c r="F97" s="226">
        <v>4</v>
      </c>
      <c r="G97" s="296" t="str">
        <f ca="1">IF(L97="b","",IF(L97="l",0,FIXED(F97,K97,0)&amp;M97))</f>
        <v xml:space="preserve">4    </v>
      </c>
      <c r="H97" s="187" t="s">
        <v>252</v>
      </c>
      <c r="I97" s="189"/>
      <c r="K97" s="215"/>
      <c r="L97" t="str">
        <f t="shared" ca="1" si="17"/>
        <v>v</v>
      </c>
      <c r="M97" t="str">
        <f>REPT(" ",3-K97)&amp;IF(K97=0," ","")</f>
        <v xml:space="preserve">    </v>
      </c>
      <c r="O97" s="194"/>
      <c r="P97" s="208" t="str">
        <f>IF(ISNUMBER(D97),LOOKUP(D97,$AB$5:$AC$7),D97)</f>
        <v>〃</v>
      </c>
      <c r="Q97" s="208" t="str">
        <f t="shared" si="18"/>
        <v>200□×100</v>
      </c>
      <c r="R97" s="301" t="str">
        <f t="shared" ca="1" si="19"/>
        <v xml:space="preserve">4    </v>
      </c>
      <c r="S97" s="305" t="str">
        <f>H97</f>
        <v>個</v>
      </c>
      <c r="T97" s="145">
        <v>1660</v>
      </c>
      <c r="U97" s="216">
        <f ca="1">IF(L97="l","",IF(D97+F97&gt;0,SUM(Z97:AA97),-1))</f>
        <v>6640</v>
      </c>
      <c r="V97" s="386">
        <v>174</v>
      </c>
      <c r="W97" s="107"/>
      <c r="Z97" s="114">
        <f>IF(D97&gt;0,0,TRUNC(F97*T97+Y97*X97))</f>
        <v>6640</v>
      </c>
      <c r="AA97" t="b">
        <f>IF($D97=1,SUM(Z$13:Z95)-SUM(AA$13:AA95),IF($D97=2,$AA$6,IF($D97=3,TRUNC($AA$6,-3))))</f>
        <v>0</v>
      </c>
      <c r="AB97">
        <f ca="1">IF(OR(AC$8=0,L96="l",D97&gt;0,U97=-1),0,IF(L96="b",-U97,TRUNC(F96*T97)))</f>
        <v>0</v>
      </c>
      <c r="AC97" t="b">
        <f>IF($D97=1,SUM(AB$13:AB95)-SUM(AC$13:AC95),IF($D97=2,$AA$5,IF($D97=3,TRUNC($AA$5,-3))))</f>
        <v>0</v>
      </c>
    </row>
    <row r="98" spans="3:29" ht="15" customHeight="1" x14ac:dyDescent="0.15">
      <c r="C98" s="182"/>
      <c r="D98" s="210"/>
      <c r="E98" s="184" t="s">
        <v>573</v>
      </c>
      <c r="F98" s="227"/>
      <c r="G98" s="297" t="str">
        <f ca="1">IF(OR(AC$8=0,L98="b"),"",IF(L98="l",0,"("&amp;FIXED(-F98,K99,0)&amp;M98))</f>
        <v/>
      </c>
      <c r="H98" s="183"/>
      <c r="I98" s="185"/>
      <c r="L98" t="str">
        <f t="shared" ca="1" si="17"/>
        <v>b</v>
      </c>
      <c r="M98" t="str">
        <f>")"&amp;REPT(" ",2-K99)&amp;IF(K99=0," ","")</f>
        <v xml:space="preserve">)   </v>
      </c>
      <c r="O98" s="194"/>
      <c r="P98" s="207">
        <f>D98</f>
        <v>0</v>
      </c>
      <c r="Q98" s="207" t="str">
        <f t="shared" si="18"/>
        <v xml:space="preserve">VE製 防水型 </v>
      </c>
      <c r="R98" s="300" t="str">
        <f t="shared" ca="1" si="19"/>
        <v/>
      </c>
      <c r="S98" s="304"/>
      <c r="T98" s="144"/>
      <c r="U98" s="206">
        <f ca="1">IF(OR(AC$8=0,SUM(Z99:AC99)=0),1,IF(L98="l","",SUM(AB99:AC99)))</f>
        <v>1</v>
      </c>
      <c r="V98" s="385"/>
      <c r="W98" s="50"/>
    </row>
    <row r="99" spans="3:29" ht="15" customHeight="1" x14ac:dyDescent="0.15">
      <c r="C99" s="186"/>
      <c r="D99" s="205" t="s">
        <v>101</v>
      </c>
      <c r="E99" s="188" t="s">
        <v>576</v>
      </c>
      <c r="F99" s="226">
        <v>3</v>
      </c>
      <c r="G99" s="296" t="str">
        <f ca="1">IF(L99="b","",IF(L99="l",0,FIXED(F99,K99,0)&amp;M99))</f>
        <v xml:space="preserve">3    </v>
      </c>
      <c r="H99" s="187" t="s">
        <v>252</v>
      </c>
      <c r="I99" s="189"/>
      <c r="K99" s="215"/>
      <c r="L99" t="str">
        <f t="shared" ca="1" si="17"/>
        <v>v</v>
      </c>
      <c r="M99" t="str">
        <f>REPT(" ",3-K99)&amp;IF(K99=0," ","")</f>
        <v xml:space="preserve">    </v>
      </c>
      <c r="O99" s="194" t="s">
        <v>328</v>
      </c>
      <c r="P99" s="208" t="str">
        <f>IF(ISNUMBER(D99),LOOKUP(D99,$AB$5:$AC$7),D99)</f>
        <v>〃</v>
      </c>
      <c r="Q99" s="208" t="str">
        <f t="shared" si="18"/>
        <v>300□×200</v>
      </c>
      <c r="R99" s="301" t="str">
        <f t="shared" ca="1" si="19"/>
        <v xml:space="preserve">3    </v>
      </c>
      <c r="S99" s="305" t="str">
        <f>H99</f>
        <v>個</v>
      </c>
      <c r="T99" s="145">
        <v>4540</v>
      </c>
      <c r="U99" s="216">
        <f ca="1">IF(L99="l","",IF(D99+F99&gt;0,SUM(Z99:AA99),-1))</f>
        <v>13620</v>
      </c>
      <c r="V99" s="386">
        <v>179</v>
      </c>
      <c r="W99" s="107"/>
      <c r="Z99" s="114">
        <f>IF(D99&gt;0,0,TRUNC(F99*T99+Y99*X99))</f>
        <v>13620</v>
      </c>
      <c r="AA99" t="b">
        <f>IF($D99=1,SUM(Z$13:Z97)-SUM(AA$13:AA97),IF($D99=2,$AA$6,IF($D99=3,TRUNC($AA$6,-3))))</f>
        <v>0</v>
      </c>
      <c r="AB99">
        <f ca="1">IF(OR(AC$8=0,L98="l",D99&gt;0,U99=-1),0,IF(L98="b",-U99,TRUNC(F98*T99)))</f>
        <v>0</v>
      </c>
      <c r="AC99" t="b">
        <f>IF($D99=1,SUM(AB$13:AB97)-SUM(AC$13:AC97),IF($D99=2,$AA$5,IF($D99=3,TRUNC($AA$5,-3))))</f>
        <v>0</v>
      </c>
    </row>
    <row r="100" spans="3:29" ht="15" customHeight="1" x14ac:dyDescent="0.15">
      <c r="C100" s="182"/>
      <c r="D100" s="210"/>
      <c r="E100" s="184" t="s">
        <v>573</v>
      </c>
      <c r="F100" s="227"/>
      <c r="G100" s="297" t="str">
        <f ca="1">IF(OR(AC$8=0,L100="b"),"",IF(L100="l",0,"("&amp;FIXED(-F100,K101,0)&amp;M100))</f>
        <v/>
      </c>
      <c r="H100" s="183"/>
      <c r="I100" s="185"/>
      <c r="L100" t="str">
        <f t="shared" ca="1" si="17"/>
        <v>b</v>
      </c>
      <c r="M100" t="str">
        <f>")"&amp;REPT(" ",2-K101)&amp;IF(K101=0," ","")</f>
        <v xml:space="preserve">)   </v>
      </c>
      <c r="O100" s="194"/>
      <c r="P100" s="207">
        <f>D100</f>
        <v>0</v>
      </c>
      <c r="Q100" s="207" t="str">
        <f t="shared" si="18"/>
        <v xml:space="preserve">VE製 防水型 </v>
      </c>
      <c r="R100" s="300" t="str">
        <f t="shared" ca="1" si="19"/>
        <v/>
      </c>
      <c r="S100" s="304"/>
      <c r="T100" s="144"/>
      <c r="U100" s="206">
        <f ca="1">IF(OR(AC$8=0,SUM(Z101:AC101)=0),1,IF(L100="l","",SUM(AB101:AC101)))</f>
        <v>1</v>
      </c>
      <c r="V100" s="385"/>
      <c r="W100" s="50"/>
    </row>
    <row r="101" spans="3:29" ht="15" customHeight="1" x14ac:dyDescent="0.15">
      <c r="C101" s="186"/>
      <c r="D101" s="205" t="s">
        <v>101</v>
      </c>
      <c r="E101" s="188" t="s">
        <v>577</v>
      </c>
      <c r="F101" s="226">
        <v>1</v>
      </c>
      <c r="G101" s="296" t="str">
        <f ca="1">IF(L101="b","",IF(L101="l",0,FIXED(F101,K101,0)&amp;M101))</f>
        <v xml:space="preserve">1    </v>
      </c>
      <c r="H101" s="187" t="s">
        <v>252</v>
      </c>
      <c r="I101" s="189"/>
      <c r="K101" s="215"/>
      <c r="L101" t="str">
        <f t="shared" ca="1" si="17"/>
        <v>v</v>
      </c>
      <c r="M101" t="str">
        <f>REPT(" ",3-K101)&amp;IF(K101=0," ","")</f>
        <v xml:space="preserve">    </v>
      </c>
      <c r="O101" s="194"/>
      <c r="P101" s="208" t="str">
        <f>IF(ISNUMBER(D101),LOOKUP(D101,$AB$5:$AC$7),D101)</f>
        <v>〃</v>
      </c>
      <c r="Q101" s="208" t="str">
        <f t="shared" si="18"/>
        <v>400□×200</v>
      </c>
      <c r="R101" s="301" t="str">
        <f t="shared" ca="1" si="19"/>
        <v xml:space="preserve">1    </v>
      </c>
      <c r="S101" s="305" t="str">
        <f>H101</f>
        <v>個</v>
      </c>
      <c r="T101" s="145">
        <v>7000</v>
      </c>
      <c r="U101" s="216">
        <f ca="1">IF(L101="l","",IF(D101+F101&gt;0,SUM(Z101:AA101),-1))</f>
        <v>7000</v>
      </c>
      <c r="V101" s="386">
        <v>180</v>
      </c>
      <c r="W101" s="107"/>
      <c r="Z101" s="114">
        <f>IF(D101&gt;0,0,TRUNC(F101*T101+Y101*X101))</f>
        <v>7000</v>
      </c>
      <c r="AA101" t="b">
        <f>IF($D101=1,SUM(Z$13:Z99)-SUM(AA$13:AA99),IF($D101=2,$AA$6,IF($D101=3,TRUNC($AA$6,-3))))</f>
        <v>0</v>
      </c>
      <c r="AB101">
        <f ca="1">IF(OR(AC$8=0,L100="l",D101&gt;0,U101=-1),0,IF(L100="b",-U101,TRUNC(F100*T101)))</f>
        <v>0</v>
      </c>
      <c r="AC101" t="b">
        <f>IF($D101=1,SUM(AB$13:AB99)-SUM(AC$13:AC99),IF($D101=2,$AA$5,IF($D101=3,TRUNC($AA$5,-3))))</f>
        <v>0</v>
      </c>
    </row>
    <row r="102" spans="3:29" ht="15" customHeight="1" x14ac:dyDescent="0.15">
      <c r="C102" s="182"/>
      <c r="D102" s="210"/>
      <c r="E102" s="184"/>
      <c r="F102" s="227"/>
      <c r="G102" s="297" t="str">
        <f ca="1">IF(OR(AC$8=0,L102="b"),"",IF(L102="l",0,"("&amp;FIXED(-F102,K103,0)&amp;M102))</f>
        <v/>
      </c>
      <c r="H102" s="183"/>
      <c r="I102" s="185"/>
      <c r="L102" t="str">
        <f t="shared" ca="1" si="17"/>
        <v>b</v>
      </c>
      <c r="M102" t="str">
        <f>")"&amp;REPT(" ",2-K103)&amp;IF(K103=0," ","")</f>
        <v xml:space="preserve">)   </v>
      </c>
      <c r="O102" s="194" t="s">
        <v>82</v>
      </c>
      <c r="P102" s="207">
        <f>D102</f>
        <v>0</v>
      </c>
      <c r="Q102" s="207">
        <f t="shared" si="18"/>
        <v>0</v>
      </c>
      <c r="R102" s="300" t="str">
        <f t="shared" ca="1" si="19"/>
        <v/>
      </c>
      <c r="S102" s="304"/>
      <c r="T102" s="369"/>
      <c r="U102" s="206">
        <f ca="1">IF(OR(AC$8=0,SUM(Z103:AC103)=0),1,IF(L102="l","",SUM(AB103:AC103)))</f>
        <v>1</v>
      </c>
      <c r="V102" s="387"/>
      <c r="W102" s="50"/>
    </row>
    <row r="103" spans="3:29" ht="15" customHeight="1" x14ac:dyDescent="0.15">
      <c r="C103" s="186"/>
      <c r="D103" s="205" t="s">
        <v>578</v>
      </c>
      <c r="E103" s="188" t="s">
        <v>579</v>
      </c>
      <c r="F103" s="226">
        <v>1</v>
      </c>
      <c r="G103" s="296" t="str">
        <f ca="1">IF(L103="b","",IF(L103="l",0,FIXED(F103,K103,0)&amp;M103))</f>
        <v xml:space="preserve">1    </v>
      </c>
      <c r="H103" s="187" t="s">
        <v>252</v>
      </c>
      <c r="I103" s="189"/>
      <c r="K103" s="215"/>
      <c r="L103" t="str">
        <f t="shared" ca="1" si="17"/>
        <v>v</v>
      </c>
      <c r="M103" t="str">
        <f>REPT(" ",3-K103)&amp;IF(K103=0," ","")</f>
        <v xml:space="preserve">    </v>
      </c>
      <c r="O103" s="194"/>
      <c r="P103" s="208" t="str">
        <f>IF(ISNUMBER(D103),LOOKUP(D103,$AB$5:$AC$7),D103)</f>
        <v>サーモスイッチ</v>
      </c>
      <c r="Q103" s="208" t="str">
        <f t="shared" si="18"/>
        <v>TH 0～40℃</v>
      </c>
      <c r="R103" s="301" t="str">
        <f t="shared" ca="1" si="19"/>
        <v xml:space="preserve">1    </v>
      </c>
      <c r="S103" s="305" t="str">
        <f>H103</f>
        <v>個</v>
      </c>
      <c r="T103" s="370">
        <v>8960</v>
      </c>
      <c r="U103" s="216">
        <f ca="1">IF(L103="l","",IF(D103+F103&gt;0,SUM(Z103:AA103),-1))</f>
        <v>8960</v>
      </c>
      <c r="V103" s="388">
        <v>290</v>
      </c>
      <c r="W103" s="107"/>
      <c r="Z103" s="114">
        <f>IF(D103&gt;0,0,TRUNC(F103*T103+Y103*X103))</f>
        <v>8960</v>
      </c>
      <c r="AA103" t="b">
        <f>IF($D103=1,SUM(Z$13:Z101)-SUM(AA$13:AA101),IF($D103=2,$AA$6,IF($D103=3,TRUNC($AA$6,-3))))</f>
        <v>0</v>
      </c>
      <c r="AB103">
        <f ca="1">IF(OR(AC$8=0,L102="l",D103&gt;0,U103=-1),0,IF(L102="b",-U103,TRUNC(F102*T103)))</f>
        <v>0</v>
      </c>
      <c r="AC103" t="b">
        <f>IF($D103=1,SUM(AB$13:AB101)-SUM(AC$13:AC101),IF($D103=2,$AA$5,IF($D103=3,TRUNC($AA$5,-3))))</f>
        <v>0</v>
      </c>
    </row>
    <row r="104" spans="3:29" ht="15" customHeight="1" x14ac:dyDescent="0.15">
      <c r="C104" s="182"/>
      <c r="D104" s="210"/>
      <c r="E104" s="184"/>
      <c r="F104" s="227"/>
      <c r="G104" s="297" t="str">
        <f ca="1">IF(OR(AC$8=0,L104="b"),"",IF(L104="l",0,"("&amp;FIXED(-F104,K105,0)&amp;M104))</f>
        <v/>
      </c>
      <c r="H104" s="183"/>
      <c r="I104" s="185"/>
      <c r="L104" t="str">
        <f t="shared" ca="1" si="15"/>
        <v>b</v>
      </c>
      <c r="M104" t="str">
        <f>")"&amp;REPT(" ",2-K105)&amp;IF(K105=0," ","")</f>
        <v xml:space="preserve">)   </v>
      </c>
      <c r="O104" s="194"/>
      <c r="P104" s="207">
        <f>D104</f>
        <v>0</v>
      </c>
      <c r="Q104" s="207">
        <f t="shared" ref="Q104:Q127" si="20">E104</f>
        <v>0</v>
      </c>
      <c r="R104" s="300" t="str">
        <f t="shared" ca="1" si="16"/>
        <v/>
      </c>
      <c r="S104" s="304"/>
      <c r="T104" s="144"/>
      <c r="U104" s="206">
        <f ca="1">IF(OR(AC$8=0,SUM(Z105:AC105)=0),1,IF(L104="l","",SUM(AB105:AC105)))</f>
        <v>1</v>
      </c>
      <c r="V104" s="385"/>
      <c r="W104" s="50"/>
    </row>
    <row r="105" spans="3:29" ht="15" customHeight="1" x14ac:dyDescent="0.15">
      <c r="C105" s="186"/>
      <c r="D105" s="205"/>
      <c r="E105" s="188"/>
      <c r="F105" s="226"/>
      <c r="G105" s="296" t="str">
        <f ca="1">IF(L105="b","",IF(L105="l",0,FIXED(F105,K105,0)&amp;M105))</f>
        <v/>
      </c>
      <c r="H105" s="187"/>
      <c r="I105" s="189"/>
      <c r="K105" s="215"/>
      <c r="L105" t="str">
        <f t="shared" ca="1" si="15"/>
        <v>b</v>
      </c>
      <c r="M105" t="str">
        <f>REPT(" ",3-K105)&amp;IF(K105=0," ","")</f>
        <v xml:space="preserve">    </v>
      </c>
      <c r="O105" s="194"/>
      <c r="P105" s="208">
        <f>IF(ISNUMBER(D105),LOOKUP(D105,$AB$5:$AC$7),D105)</f>
        <v>0</v>
      </c>
      <c r="Q105" s="208">
        <f t="shared" si="20"/>
        <v>0</v>
      </c>
      <c r="R105" s="301" t="str">
        <f t="shared" ca="1" si="16"/>
        <v/>
      </c>
      <c r="S105" s="305">
        <f>H105</f>
        <v>0</v>
      </c>
      <c r="T105" s="145"/>
      <c r="U105" s="216">
        <f ca="1">IF(L105="l","",IF(D105+F105&gt;0,SUM(Z105:AA105),-1))</f>
        <v>-1</v>
      </c>
      <c r="V105" s="386"/>
      <c r="W105" s="107"/>
      <c r="Z105" s="114">
        <f>IF(D105&gt;0,0,TRUNC(F105*T105+Y105*X105))</f>
        <v>0</v>
      </c>
      <c r="AA105" t="b">
        <f>IF($D105=1,SUM(Z$13:Z103)-SUM(AA$13:AA103),IF($D105=2,$AA$6,IF($D105=3,TRUNC($AA$6,-3))))</f>
        <v>0</v>
      </c>
      <c r="AB105">
        <f ca="1">IF(OR(AC$8=0,L104="l",D105&gt;0,U105=-1),0,IF(L104="b",-U105,TRUNC(F104*T105)))</f>
        <v>0</v>
      </c>
      <c r="AC105" t="b">
        <f>IF($D105=1,SUM(AB$13:AB103)-SUM(AC$13:AC103),IF($D105=2,$AA$5,IF($D105=3,TRUNC($AA$5,-3))))</f>
        <v>0</v>
      </c>
    </row>
    <row r="106" spans="3:29" ht="15" customHeight="1" x14ac:dyDescent="0.15">
      <c r="C106" s="182"/>
      <c r="D106" s="210"/>
      <c r="E106" s="184"/>
      <c r="F106" s="227"/>
      <c r="G106" s="297" t="str">
        <f ca="1">IF(OR(AC$8=0,L106="b"),"",IF(L106="l",0,"("&amp;FIXED(-F106,K107,0)&amp;M106))</f>
        <v/>
      </c>
      <c r="H106" s="183"/>
      <c r="I106" s="185"/>
      <c r="L106" t="str">
        <f t="shared" ca="1" si="15"/>
        <v>b</v>
      </c>
      <c r="M106" t="str">
        <f>")"&amp;REPT(" ",2-K107)&amp;IF(K107=0," ","")</f>
        <v xml:space="preserve">)   </v>
      </c>
      <c r="O106" s="194"/>
      <c r="P106" s="207">
        <f>D106</f>
        <v>0</v>
      </c>
      <c r="Q106" s="207">
        <f t="shared" si="20"/>
        <v>0</v>
      </c>
      <c r="R106" s="300" t="str">
        <f t="shared" ca="1" si="16"/>
        <v/>
      </c>
      <c r="S106" s="304"/>
      <c r="T106" s="144"/>
      <c r="U106" s="206">
        <f ca="1">IF(OR(AC$8=0,SUM(Z107:AC107)=0),1,IF(L106="l","",SUM(AB107:AC107)))</f>
        <v>1</v>
      </c>
      <c r="V106" s="385"/>
      <c r="W106" s="50"/>
    </row>
    <row r="107" spans="3:29" ht="15" customHeight="1" x14ac:dyDescent="0.15">
      <c r="C107" s="186"/>
      <c r="D107" s="205">
        <v>1</v>
      </c>
      <c r="E107" s="188"/>
      <c r="F107" s="226"/>
      <c r="G107" s="296" t="str">
        <f ca="1">IF(L107="b","",IF(L107="l",0,FIXED(F107,K107,0)&amp;M107))</f>
        <v/>
      </c>
      <c r="H107" s="187"/>
      <c r="I107" s="189"/>
      <c r="K107" s="215"/>
      <c r="L107" t="str">
        <f t="shared" ca="1" si="15"/>
        <v>b</v>
      </c>
      <c r="M107" t="str">
        <f>REPT(" ",3-K107)&amp;IF(K107=0," ","")</f>
        <v xml:space="preserve">    </v>
      </c>
      <c r="O107" s="194"/>
      <c r="P107" s="208" t="str">
        <f>IF(ISNUMBER(D107),LOOKUP(D107,$AB$5:$AC$7),D107)</f>
        <v>小    　計</v>
      </c>
      <c r="Q107" s="208">
        <f t="shared" si="20"/>
        <v>0</v>
      </c>
      <c r="R107" s="301" t="str">
        <f t="shared" ca="1" si="16"/>
        <v/>
      </c>
      <c r="S107" s="305">
        <f>H107</f>
        <v>0</v>
      </c>
      <c r="T107" s="145"/>
      <c r="U107" s="216">
        <f ca="1">IF(L107="l","",IF(D107+F107&gt;0,SUM(Z107:AA107),-1))</f>
        <v>44200</v>
      </c>
      <c r="V107" s="386"/>
      <c r="W107" s="107"/>
      <c r="Z107" s="114">
        <f>IF(D107&gt;0,0,TRUNC(F107*T107+Y107*X107))</f>
        <v>0</v>
      </c>
      <c r="AA107">
        <f>IF($D107=1,SUM(Z$13:Z105)-SUM(AA$13:AA105),IF($D107=2,$AA$6,IF($D107=3,TRUNC($AA$6,-3))))</f>
        <v>44200</v>
      </c>
      <c r="AB107">
        <f ca="1">IF(OR(AC$8=0,L106="l",D107&gt;0,U107=-1),0,IF(L106="b",-U107,TRUNC(F106*T107)))</f>
        <v>0</v>
      </c>
      <c r="AC107">
        <f ca="1">IF($D107=1,SUM(AB$13:AB105)-SUM(AC$13:AC105),IF($D107=2,$AA$5,IF($D107=3,TRUNC($AA$5,-3))))</f>
        <v>0</v>
      </c>
    </row>
    <row r="108" spans="3:29" ht="15" customHeight="1" x14ac:dyDescent="0.15">
      <c r="C108" s="182"/>
      <c r="D108" s="210"/>
      <c r="E108" s="184"/>
      <c r="F108" s="227"/>
      <c r="G108" s="297" t="str">
        <f ca="1">IF(OR(AC$8=0,L108="b"),"",IF(L108="l",0,"("&amp;FIXED(-F108,K109,0)&amp;M108))</f>
        <v/>
      </c>
      <c r="H108" s="183"/>
      <c r="I108" s="185"/>
      <c r="L108" t="str">
        <f t="shared" ca="1" si="15"/>
        <v>b</v>
      </c>
      <c r="M108" t="str">
        <f>")"&amp;REPT(" ",2-K109)&amp;IF(K109=0," ","")</f>
        <v xml:space="preserve">)   </v>
      </c>
      <c r="O108" s="194"/>
      <c r="P108" s="207">
        <f>D108</f>
        <v>0</v>
      </c>
      <c r="Q108" s="207">
        <f t="shared" si="20"/>
        <v>0</v>
      </c>
      <c r="R108" s="300" t="str">
        <f t="shared" ca="1" si="16"/>
        <v/>
      </c>
      <c r="S108" s="304"/>
      <c r="T108" s="144"/>
      <c r="U108" s="206">
        <f ca="1">IF(OR(AC$8=0,SUM(Z109:AC109)=0),1,IF(L108="l","",SUM(AB109:AC109)))</f>
        <v>1</v>
      </c>
      <c r="V108" s="385"/>
      <c r="W108" s="50"/>
    </row>
    <row r="109" spans="3:29" ht="15" customHeight="1" x14ac:dyDescent="0.15">
      <c r="C109" s="186"/>
      <c r="D109" s="205"/>
      <c r="E109" s="188"/>
      <c r="F109" s="226"/>
      <c r="G109" s="296" t="str">
        <f ca="1">IF(L109="b","",IF(L109="l",0,FIXED(F109,K109,0)&amp;M109))</f>
        <v/>
      </c>
      <c r="H109" s="187"/>
      <c r="I109" s="189"/>
      <c r="K109" s="215"/>
      <c r="L109" t="str">
        <f t="shared" ca="1" si="15"/>
        <v>b</v>
      </c>
      <c r="M109" t="str">
        <f>REPT(" ",3-K109)&amp;IF(K109=0," ","")</f>
        <v xml:space="preserve">    </v>
      </c>
      <c r="O109" s="194"/>
      <c r="P109" s="208">
        <f>IF(ISNUMBER(D109),LOOKUP(D109,$AB$5:$AC$7),D109)</f>
        <v>0</v>
      </c>
      <c r="Q109" s="208">
        <f t="shared" si="20"/>
        <v>0</v>
      </c>
      <c r="R109" s="301" t="str">
        <f t="shared" ca="1" si="16"/>
        <v/>
      </c>
      <c r="S109" s="305">
        <f>H109</f>
        <v>0</v>
      </c>
      <c r="T109" s="145"/>
      <c r="U109" s="216">
        <f ca="1">IF(L109="l","",IF(D109+F109&gt;0,SUM(Z109:AA109),-1))</f>
        <v>-1</v>
      </c>
      <c r="V109" s="386"/>
      <c r="W109" s="107"/>
      <c r="Z109" s="114">
        <f>IF(D109&gt;0,0,TRUNC(F109*T109+Y109*X109))</f>
        <v>0</v>
      </c>
      <c r="AA109" t="b">
        <f>IF($D109=1,SUM(Z$13:Z107)-SUM(AA$13:AA107),IF($D109=2,$AA$6,IF($D109=3,TRUNC($AA$6,-3))))</f>
        <v>0</v>
      </c>
      <c r="AB109">
        <f ca="1">IF(OR(AC$8=0,L108="l",D109&gt;0,U109=-1),0,IF(L108="b",-U109,TRUNC(F108*T109)))</f>
        <v>0</v>
      </c>
      <c r="AC109" t="b">
        <f>IF($D109=1,SUM(AB$13:AB107)-SUM(AC$13:AC107),IF($D109=2,$AA$5,IF($D109=3,TRUNC($AA$5,-3))))</f>
        <v>0</v>
      </c>
    </row>
    <row r="110" spans="3:29" ht="15" customHeight="1" x14ac:dyDescent="0.15">
      <c r="C110" s="182"/>
      <c r="D110" s="210"/>
      <c r="E110" s="184"/>
      <c r="F110" s="227"/>
      <c r="G110" s="297" t="str">
        <f ca="1">IF(OR(AC$8=0,L110="b"),"",IF(L110="l",0,"("&amp;FIXED(-F110,K111,0)&amp;M110))</f>
        <v/>
      </c>
      <c r="H110" s="183"/>
      <c r="I110" s="185"/>
      <c r="L110" t="str">
        <f t="shared" ca="1" si="15"/>
        <v>b</v>
      </c>
      <c r="M110" t="str">
        <f>")"&amp;REPT(" ",2-K111)&amp;IF(K111=0," ","")</f>
        <v xml:space="preserve">)   </v>
      </c>
      <c r="O110" s="194"/>
      <c r="P110" s="207">
        <f>D110</f>
        <v>0</v>
      </c>
      <c r="Q110" s="207">
        <f t="shared" si="20"/>
        <v>0</v>
      </c>
      <c r="R110" s="300" t="str">
        <f t="shared" ca="1" si="16"/>
        <v/>
      </c>
      <c r="S110" s="304"/>
      <c r="T110" s="144"/>
      <c r="U110" s="206">
        <f ca="1">IF(OR(AC$8=0,SUM(Z111:AC111)=0),1,IF(L110="l","",SUM(AB111:AC111)))</f>
        <v>1</v>
      </c>
      <c r="V110" s="385"/>
      <c r="W110" s="50"/>
    </row>
    <row r="111" spans="3:29" ht="15" customHeight="1" x14ac:dyDescent="0.15">
      <c r="C111" s="186"/>
      <c r="D111" s="205"/>
      <c r="E111" s="188"/>
      <c r="F111" s="226"/>
      <c r="G111" s="296" t="str">
        <f ca="1">IF(L111="b","",IF(L111="l",0,FIXED(F111,K111,0)&amp;M111))</f>
        <v/>
      </c>
      <c r="H111" s="187"/>
      <c r="I111" s="189"/>
      <c r="K111" s="215"/>
      <c r="L111" t="str">
        <f t="shared" ca="1" si="15"/>
        <v>b</v>
      </c>
      <c r="M111" t="str">
        <f>REPT(" ",3-K111)&amp;IF(K111=0," ","")</f>
        <v xml:space="preserve">    </v>
      </c>
      <c r="O111" s="194"/>
      <c r="P111" s="208">
        <f>IF(ISNUMBER(D111),LOOKUP(D111,$AB$5:$AC$7),D111)</f>
        <v>0</v>
      </c>
      <c r="Q111" s="208">
        <f t="shared" si="20"/>
        <v>0</v>
      </c>
      <c r="R111" s="301" t="str">
        <f t="shared" ca="1" si="16"/>
        <v/>
      </c>
      <c r="S111" s="305">
        <f>H111</f>
        <v>0</v>
      </c>
      <c r="T111" s="145"/>
      <c r="U111" s="216">
        <f ca="1">IF(L111="l","",IF(D111+F111&gt;0,SUM(Z111:AA111),-1))</f>
        <v>-1</v>
      </c>
      <c r="V111" s="386"/>
      <c r="W111" s="107"/>
      <c r="Z111" s="114">
        <f>IF(D111&gt;0,0,TRUNC(F111*T111+Y111*X111))</f>
        <v>0</v>
      </c>
      <c r="AA111" t="b">
        <f>IF($D111=1,SUM(Z$13:Z109)-SUM(AA$13:AA109),IF($D111=2,$AA$6,IF($D111=3,TRUNC($AA$6,-3))))</f>
        <v>0</v>
      </c>
      <c r="AB111">
        <f ca="1">IF(OR(AC$8=0,L110="l",D111&gt;0,U111=-1),0,IF(L110="b",-U111,TRUNC(F110*T111)))</f>
        <v>0</v>
      </c>
      <c r="AC111" t="b">
        <f>IF($D111=1,SUM(AB$13:AB109)-SUM(AC$13:AC109),IF($D111=2,$AA$5,IF($D111=3,TRUNC($AA$5,-3))))</f>
        <v>0</v>
      </c>
    </row>
    <row r="112" spans="3:29" ht="15" customHeight="1" x14ac:dyDescent="0.15">
      <c r="C112" s="182"/>
      <c r="D112" s="210"/>
      <c r="E112" s="184"/>
      <c r="F112" s="227"/>
      <c r="G112" s="297" t="str">
        <f ca="1">IF(OR(AC$8=0,L112="b"),"",IF(L112="l",0,"("&amp;FIXED(-F112,K113,0)&amp;M112))</f>
        <v/>
      </c>
      <c r="H112" s="183"/>
      <c r="I112" s="185"/>
      <c r="L112" t="str">
        <f t="shared" ca="1" si="15"/>
        <v>b</v>
      </c>
      <c r="M112" t="str">
        <f>")"&amp;REPT(" ",2-K113)&amp;IF(K113=0," ","")</f>
        <v xml:space="preserve">)   </v>
      </c>
      <c r="O112" s="194"/>
      <c r="P112" s="207">
        <f>D112</f>
        <v>0</v>
      </c>
      <c r="Q112" s="207">
        <f t="shared" si="20"/>
        <v>0</v>
      </c>
      <c r="R112" s="300" t="str">
        <f t="shared" ca="1" si="16"/>
        <v/>
      </c>
      <c r="S112" s="304"/>
      <c r="T112" s="369"/>
      <c r="U112" s="206">
        <f ca="1">IF(OR(AC$8=0,SUM(Z113:AC113)=0),1,IF(L112="l","",SUM(AB113:AC113)))</f>
        <v>1</v>
      </c>
      <c r="V112" s="387"/>
      <c r="W112" s="50"/>
    </row>
    <row r="113" spans="3:29" ht="15" customHeight="1" x14ac:dyDescent="0.15">
      <c r="C113" s="186"/>
      <c r="D113" s="205"/>
      <c r="E113" s="188"/>
      <c r="F113" s="226"/>
      <c r="G113" s="296" t="str">
        <f ca="1">IF(L113="b","",IF(L113="l",0,FIXED(F113,K113,0)&amp;M113))</f>
        <v/>
      </c>
      <c r="H113" s="187"/>
      <c r="I113" s="189"/>
      <c r="K113" s="215"/>
      <c r="L113" t="str">
        <f t="shared" ca="1" si="15"/>
        <v>b</v>
      </c>
      <c r="M113" t="str">
        <f>REPT(" ",3-K113)&amp;IF(K113=0," ","")</f>
        <v xml:space="preserve">    </v>
      </c>
      <c r="O113" s="194"/>
      <c r="P113" s="208">
        <f>IF(ISNUMBER(D113),LOOKUP(D113,$AB$5:$AC$7),D113)</f>
        <v>0</v>
      </c>
      <c r="Q113" s="208">
        <f t="shared" si="20"/>
        <v>0</v>
      </c>
      <c r="R113" s="301" t="str">
        <f t="shared" ca="1" si="16"/>
        <v/>
      </c>
      <c r="S113" s="305">
        <f>H113</f>
        <v>0</v>
      </c>
      <c r="T113" s="370"/>
      <c r="U113" s="216">
        <f ca="1">IF(L113="l","",IF(D113+F113&gt;0,SUM(Z113:AA113),-1))</f>
        <v>-1</v>
      </c>
      <c r="V113" s="388"/>
      <c r="W113" s="107"/>
      <c r="Z113" s="114">
        <f>IF(D113&gt;0,0,TRUNC(F113*T113+Y113*X113))</f>
        <v>0</v>
      </c>
      <c r="AA113" t="b">
        <f>IF($D113=1,SUM(Z$13:Z111)-SUM(AA$13:AA111),IF($D113=2,$AA$6,IF($D113=3,TRUNC($AA$6,-3))))</f>
        <v>0</v>
      </c>
      <c r="AB113">
        <f ca="1">IF(OR(AC$8=0,L112="l",D113&gt;0,U113=-1),0,IF(L112="b",-U113,TRUNC(F112*T113)))</f>
        <v>0</v>
      </c>
      <c r="AC113" t="b">
        <f>IF($D113=1,SUM(AB$13:AB111)-SUM(AC$13:AC111),IF($D113=2,$AA$5,IF($D113=3,TRUNC($AA$5,-3))))</f>
        <v>0</v>
      </c>
    </row>
    <row r="114" spans="3:29" ht="15" customHeight="1" x14ac:dyDescent="0.15">
      <c r="C114" s="182"/>
      <c r="D114" s="210"/>
      <c r="E114" s="184"/>
      <c r="F114" s="227"/>
      <c r="G114" s="297" t="str">
        <f ca="1">IF(OR(AC$8=0,L114="b"),"",IF(L114="l",0,"("&amp;FIXED(-F114,K115,0)&amp;M114))</f>
        <v/>
      </c>
      <c r="H114" s="183"/>
      <c r="I114" s="185"/>
      <c r="L114" t="str">
        <f t="shared" ca="1" si="15"/>
        <v>b</v>
      </c>
      <c r="M114" t="str">
        <f>")"&amp;REPT(" ",2-K115)&amp;IF(K115=0," ","")</f>
        <v xml:space="preserve">)   </v>
      </c>
      <c r="O114" s="194"/>
      <c r="P114" s="207">
        <f>D114</f>
        <v>0</v>
      </c>
      <c r="Q114" s="207">
        <f t="shared" si="20"/>
        <v>0</v>
      </c>
      <c r="R114" s="300" t="str">
        <f t="shared" ca="1" si="16"/>
        <v/>
      </c>
      <c r="S114" s="304"/>
      <c r="T114" s="369"/>
      <c r="U114" s="206">
        <f ca="1">IF(OR(AC$8=0,SUM(Z115:AC115)=0),1,IF(L114="l","",SUM(AB115:AC115)))</f>
        <v>1</v>
      </c>
      <c r="V114" s="387"/>
      <c r="W114" s="50"/>
    </row>
    <row r="115" spans="3:29" ht="15" customHeight="1" x14ac:dyDescent="0.15">
      <c r="C115" s="186"/>
      <c r="D115" s="205"/>
      <c r="E115" s="188"/>
      <c r="F115" s="226"/>
      <c r="G115" s="296" t="str">
        <f ca="1">IF(L115="b","",IF(L115="l",0,FIXED(F115,K115,0)&amp;M115))</f>
        <v/>
      </c>
      <c r="H115" s="187"/>
      <c r="I115" s="189"/>
      <c r="K115" s="215"/>
      <c r="L115" t="str">
        <f t="shared" ca="1" si="15"/>
        <v>b</v>
      </c>
      <c r="M115" t="str">
        <f>REPT(" ",3-K115)&amp;IF(K115=0," ","")</f>
        <v xml:space="preserve">    </v>
      </c>
      <c r="O115" s="194"/>
      <c r="P115" s="208">
        <f>IF(ISNUMBER(D115),LOOKUP(D115,$AB$5:$AC$7),D115)</f>
        <v>0</v>
      </c>
      <c r="Q115" s="208">
        <f t="shared" si="20"/>
        <v>0</v>
      </c>
      <c r="R115" s="301" t="str">
        <f t="shared" ca="1" si="16"/>
        <v/>
      </c>
      <c r="S115" s="305">
        <f>H115</f>
        <v>0</v>
      </c>
      <c r="T115" s="370"/>
      <c r="U115" s="216">
        <f ca="1">IF(L115="l","",IF(D115+F115&gt;0,SUM(Z115:AA115),-1))</f>
        <v>-1</v>
      </c>
      <c r="V115" s="388"/>
      <c r="W115" s="107"/>
      <c r="Z115" s="114">
        <f>IF(D115&gt;0,0,TRUNC(F115*T115+Y115*X115))</f>
        <v>0</v>
      </c>
      <c r="AA115" t="b">
        <f>IF($D115=1,SUM(Z$13:Z113)-SUM(AA$13:AA113),IF($D115=2,$AA$6,IF($D115=3,TRUNC($AA$6,-3))))</f>
        <v>0</v>
      </c>
      <c r="AB115">
        <f ca="1">IF(OR(AC$8=0,L114="l",D115&gt;0,U115=-1),0,IF(L114="b",-U115,TRUNC(F114*T115)))</f>
        <v>0</v>
      </c>
      <c r="AC115" t="b">
        <f>IF($D115=1,SUM(AB$13:AB113)-SUM(AC$13:AC113),IF($D115=2,$AA$5,IF($D115=3,TRUNC($AA$5,-3))))</f>
        <v>0</v>
      </c>
    </row>
    <row r="116" spans="3:29" ht="15" customHeight="1" x14ac:dyDescent="0.15">
      <c r="C116" s="182"/>
      <c r="D116" s="210"/>
      <c r="E116" s="184"/>
      <c r="F116" s="227"/>
      <c r="G116" s="297" t="str">
        <f ca="1">IF(OR(AC$8=0,L116="b"),"",IF(L116="l",0,"("&amp;FIXED(-F116,K117,0)&amp;M116))</f>
        <v/>
      </c>
      <c r="H116" s="183"/>
      <c r="I116" s="185"/>
      <c r="L116" t="str">
        <f t="shared" ca="1" si="15"/>
        <v>b</v>
      </c>
      <c r="M116" t="str">
        <f>")"&amp;REPT(" ",2-K117)&amp;IF(K117=0," ","")</f>
        <v xml:space="preserve">)   </v>
      </c>
      <c r="O116" s="194"/>
      <c r="P116" s="207">
        <f>D116</f>
        <v>0</v>
      </c>
      <c r="Q116" s="207">
        <f t="shared" si="20"/>
        <v>0</v>
      </c>
      <c r="R116" s="300" t="str">
        <f t="shared" ca="1" si="16"/>
        <v/>
      </c>
      <c r="S116" s="304"/>
      <c r="T116" s="369"/>
      <c r="U116" s="206">
        <f ca="1">IF(OR(AC$8=0,SUM(Z117:AC117)=0),1,IF(L116="l","",SUM(AB117:AC117)))</f>
        <v>1</v>
      </c>
      <c r="V116" s="387"/>
      <c r="W116" s="50"/>
    </row>
    <row r="117" spans="3:29" ht="15" customHeight="1" x14ac:dyDescent="0.15">
      <c r="C117" s="186"/>
      <c r="D117" s="205"/>
      <c r="E117" s="188"/>
      <c r="F117" s="226"/>
      <c r="G117" s="296" t="str">
        <f ca="1">IF(L117="b","",IF(L117="l",0,FIXED(F117,K117,0)&amp;M117))</f>
        <v/>
      </c>
      <c r="H117" s="187"/>
      <c r="I117" s="189"/>
      <c r="K117" s="215"/>
      <c r="L117" t="str">
        <f t="shared" ca="1" si="15"/>
        <v>b</v>
      </c>
      <c r="M117" t="str">
        <f>REPT(" ",3-K117)&amp;IF(K117=0," ","")</f>
        <v xml:space="preserve">    </v>
      </c>
      <c r="O117" s="194"/>
      <c r="P117" s="208">
        <f>IF(ISNUMBER(D117),LOOKUP(D117,$AB$5:$AC$7),D117)</f>
        <v>0</v>
      </c>
      <c r="Q117" s="208">
        <f t="shared" si="20"/>
        <v>0</v>
      </c>
      <c r="R117" s="301" t="str">
        <f t="shared" ca="1" si="16"/>
        <v/>
      </c>
      <c r="S117" s="305">
        <f>H117</f>
        <v>0</v>
      </c>
      <c r="T117" s="370"/>
      <c r="U117" s="216">
        <f ca="1">IF(L117="l","",IF(D117+F117&gt;0,SUM(Z117:AA117),-1))</f>
        <v>-1</v>
      </c>
      <c r="V117" s="388"/>
      <c r="W117" s="107"/>
      <c r="Z117" s="114">
        <f>IF(D117&gt;0,0,TRUNC(F117*T117+Y117*X117))</f>
        <v>0</v>
      </c>
      <c r="AA117" t="b">
        <f>IF($D117=1,SUM(Z$13:Z115)-SUM(AA$13:AA115),IF($D117=2,$AA$6,IF($D117=3,TRUNC($AA$6,-3))))</f>
        <v>0</v>
      </c>
      <c r="AB117">
        <f ca="1">IF(OR(AC$8=0,L116="l",D117&gt;0,U117=-1),0,IF(L116="b",-U117,TRUNC(F116*T117)))</f>
        <v>0</v>
      </c>
      <c r="AC117" t="b">
        <f>IF($D117=1,SUM(AB$13:AB115)-SUM(AC$13:AC115),IF($D117=2,$AA$5,IF($D117=3,TRUNC($AA$5,-3))))</f>
        <v>0</v>
      </c>
    </row>
    <row r="118" spans="3:29" ht="15" customHeight="1" x14ac:dyDescent="0.15">
      <c r="C118" s="182"/>
      <c r="D118" s="210"/>
      <c r="E118" s="184"/>
      <c r="F118" s="227"/>
      <c r="G118" s="297" t="str">
        <f ca="1">IF(OR(AC$8=0,L118="b"),"",IF(L118="l",0,"("&amp;FIXED(-F118,K119,0)&amp;M118))</f>
        <v/>
      </c>
      <c r="H118" s="183"/>
      <c r="I118" s="185"/>
      <c r="L118" t="str">
        <f t="shared" ca="1" si="15"/>
        <v>b</v>
      </c>
      <c r="M118" t="str">
        <f>")"&amp;REPT(" ",2-K119)&amp;IF(K119=0," ","")</f>
        <v xml:space="preserve">)   </v>
      </c>
      <c r="O118" s="194"/>
      <c r="P118" s="207">
        <f>D118</f>
        <v>0</v>
      </c>
      <c r="Q118" s="207">
        <f t="shared" si="20"/>
        <v>0</v>
      </c>
      <c r="R118" s="300" t="str">
        <f t="shared" ca="1" si="16"/>
        <v/>
      </c>
      <c r="S118" s="304"/>
      <c r="T118" s="369"/>
      <c r="U118" s="206">
        <f ca="1">IF(OR(AC$8=0,SUM(Z119:AC119)=0),1,IF(L118="l","",SUM(AB119:AC119)))</f>
        <v>1</v>
      </c>
      <c r="V118" s="387"/>
      <c r="W118" s="50"/>
    </row>
    <row r="119" spans="3:29" ht="15" customHeight="1" x14ac:dyDescent="0.15">
      <c r="C119" s="186"/>
      <c r="D119" s="205"/>
      <c r="E119" s="188"/>
      <c r="F119" s="226"/>
      <c r="G119" s="296" t="str">
        <f ca="1">IF(L119="b","",IF(L119="l",0,FIXED(F119,K119,0)&amp;M119))</f>
        <v/>
      </c>
      <c r="H119" s="187"/>
      <c r="I119" s="189"/>
      <c r="K119" s="215"/>
      <c r="L119" t="str">
        <f t="shared" ca="1" si="15"/>
        <v>b</v>
      </c>
      <c r="M119" t="str">
        <f>REPT(" ",3-K119)&amp;IF(K119=0," ","")</f>
        <v xml:space="preserve">    </v>
      </c>
      <c r="O119" s="194"/>
      <c r="P119" s="208">
        <f>IF(ISNUMBER(D119),LOOKUP(D119,$AB$5:$AC$7),D119)</f>
        <v>0</v>
      </c>
      <c r="Q119" s="208">
        <f t="shared" si="20"/>
        <v>0</v>
      </c>
      <c r="R119" s="301" t="str">
        <f t="shared" ca="1" si="16"/>
        <v/>
      </c>
      <c r="S119" s="305">
        <f>H119</f>
        <v>0</v>
      </c>
      <c r="T119" s="370"/>
      <c r="U119" s="216">
        <f ca="1">IF(L119="l","",IF(D119+F119&gt;0,SUM(Z119:AA119),-1))</f>
        <v>-1</v>
      </c>
      <c r="V119" s="388"/>
      <c r="W119" s="107"/>
      <c r="Z119" s="114">
        <f>IF(D119&gt;0,0,TRUNC(F119*T119+Y119*X119))</f>
        <v>0</v>
      </c>
      <c r="AA119" t="b">
        <f>IF($D119=1,SUM(Z$13:Z117)-SUM(AA$13:AA117),IF($D119=2,$AA$6,IF($D119=3,TRUNC($AA$6,-3))))</f>
        <v>0</v>
      </c>
      <c r="AB119">
        <f ca="1">IF(OR(AC$8=0,L118="l",D119&gt;0,U119=-1),0,IF(L118="b",-U119,TRUNC(F118*T119)))</f>
        <v>0</v>
      </c>
      <c r="AC119" t="b">
        <f>IF($D119=1,SUM(AB$13:AB117)-SUM(AC$13:AC117),IF($D119=2,$AA$5,IF($D119=3,TRUNC($AA$5,-3))))</f>
        <v>0</v>
      </c>
    </row>
    <row r="120" spans="3:29" ht="15" customHeight="1" x14ac:dyDescent="0.15">
      <c r="C120" s="182"/>
      <c r="D120" s="210"/>
      <c r="E120" s="184"/>
      <c r="F120" s="227"/>
      <c r="G120" s="297" t="str">
        <f ca="1">IF(OR(AC$8=0,L120="b"),"",IF(L120="l",0,"("&amp;FIXED(-F120,K121,0)&amp;M120))</f>
        <v/>
      </c>
      <c r="H120" s="183"/>
      <c r="I120" s="185"/>
      <c r="L120" t="str">
        <f t="shared" ca="1" si="15"/>
        <v>b</v>
      </c>
      <c r="M120" t="str">
        <f>")"&amp;REPT(" ",2-K121)&amp;IF(K121=0," ","")</f>
        <v xml:space="preserve">)   </v>
      </c>
      <c r="O120" s="194"/>
      <c r="P120" s="207">
        <f>D120</f>
        <v>0</v>
      </c>
      <c r="Q120" s="207">
        <f t="shared" si="20"/>
        <v>0</v>
      </c>
      <c r="R120" s="300" t="str">
        <f t="shared" ca="1" si="16"/>
        <v/>
      </c>
      <c r="S120" s="304"/>
      <c r="T120" s="369"/>
      <c r="U120" s="206">
        <f ca="1">IF(OR(AC$8=0,SUM(Z121:AC121)=0),1,IF(L120="l","",SUM(AB121:AC121)))</f>
        <v>1</v>
      </c>
      <c r="V120" s="387"/>
      <c r="W120" s="50"/>
    </row>
    <row r="121" spans="3:29" ht="15" customHeight="1" x14ac:dyDescent="0.15">
      <c r="C121" s="186"/>
      <c r="D121" s="205"/>
      <c r="E121" s="188"/>
      <c r="F121" s="226"/>
      <c r="G121" s="296" t="str">
        <f ca="1">IF(L121="b","",IF(L121="l",0,FIXED(F121,K121,0)&amp;M121))</f>
        <v/>
      </c>
      <c r="H121" s="187"/>
      <c r="I121" s="189"/>
      <c r="K121" s="215"/>
      <c r="L121" t="str">
        <f t="shared" ca="1" si="15"/>
        <v>b</v>
      </c>
      <c r="M121" t="str">
        <f>REPT(" ",3-K121)&amp;IF(K121=0," ","")</f>
        <v xml:space="preserve">    </v>
      </c>
      <c r="O121" s="194"/>
      <c r="P121" s="208">
        <f>IF(ISNUMBER(D121),LOOKUP(D121,$AB$5:$AC$7),D121)</f>
        <v>0</v>
      </c>
      <c r="Q121" s="208">
        <f t="shared" si="20"/>
        <v>0</v>
      </c>
      <c r="R121" s="301" t="str">
        <f t="shared" ca="1" si="16"/>
        <v/>
      </c>
      <c r="S121" s="305">
        <f>H121</f>
        <v>0</v>
      </c>
      <c r="T121" s="370"/>
      <c r="U121" s="216">
        <f ca="1">IF(L121="l","",IF(D121+F121&gt;0,SUM(Z121:AA121),-1))</f>
        <v>-1</v>
      </c>
      <c r="V121" s="388"/>
      <c r="W121" s="107"/>
      <c r="Z121" s="114">
        <f>IF(D121&gt;0,0,TRUNC(F121*T121+Y121*X121))</f>
        <v>0</v>
      </c>
      <c r="AA121" t="b">
        <f>IF($D121=1,SUM(Z$13:Z119)-SUM(AA$13:AA119),IF($D121=2,$AA$6,IF($D121=3,TRUNC($AA$6,-3))))</f>
        <v>0</v>
      </c>
      <c r="AB121">
        <f ca="1">IF(OR(AC$8=0,L120="l",D121&gt;0,U121=-1),0,IF(L120="b",-U121,TRUNC(F120*T121)))</f>
        <v>0</v>
      </c>
      <c r="AC121" t="b">
        <f>IF($D121=1,SUM(AB$13:AB119)-SUM(AC$13:AC119),IF($D121=2,$AA$5,IF($D121=3,TRUNC($AA$5,-3))))</f>
        <v>0</v>
      </c>
    </row>
    <row r="122" spans="3:29" ht="15" customHeight="1" x14ac:dyDescent="0.15">
      <c r="C122" s="182"/>
      <c r="D122" s="210"/>
      <c r="E122" s="184"/>
      <c r="F122" s="227"/>
      <c r="G122" s="297" t="str">
        <f ca="1">IF(OR(AC$8=0,L122="b"),"",IF(L122="l",0,"("&amp;FIXED(-F122,K123,0)&amp;M122))</f>
        <v/>
      </c>
      <c r="H122" s="183"/>
      <c r="I122" s="185"/>
      <c r="L122" t="str">
        <f t="shared" ca="1" si="15"/>
        <v>b</v>
      </c>
      <c r="M122" t="str">
        <f>")"&amp;REPT(" ",2-K123)&amp;IF(K123=0," ","")</f>
        <v xml:space="preserve">)   </v>
      </c>
      <c r="O122" s="194"/>
      <c r="P122" s="207">
        <f>D122</f>
        <v>0</v>
      </c>
      <c r="Q122" s="207">
        <f t="shared" si="20"/>
        <v>0</v>
      </c>
      <c r="R122" s="300" t="str">
        <f t="shared" ca="1" si="16"/>
        <v/>
      </c>
      <c r="S122" s="304"/>
      <c r="T122" s="144"/>
      <c r="U122" s="206">
        <f ca="1">IF(OR(AC$8=0,SUM(Z123:AC123)=0),1,IF(L122="l","",SUM(AB123:AC123)))</f>
        <v>1</v>
      </c>
      <c r="V122" s="385"/>
      <c r="W122" s="50"/>
    </row>
    <row r="123" spans="3:29" ht="15" customHeight="1" x14ac:dyDescent="0.15">
      <c r="C123" s="186"/>
      <c r="D123" s="205"/>
      <c r="E123" s="188"/>
      <c r="F123" s="226"/>
      <c r="G123" s="296" t="str">
        <f ca="1">IF(L123="b","",IF(L123="l",0,FIXED(F123,K123,0)&amp;M123))</f>
        <v/>
      </c>
      <c r="H123" s="187"/>
      <c r="I123" s="189"/>
      <c r="K123" s="215"/>
      <c r="L123" t="str">
        <f t="shared" ca="1" si="15"/>
        <v>b</v>
      </c>
      <c r="M123" t="str">
        <f>REPT(" ",3-K123)&amp;IF(K123=0," ","")</f>
        <v xml:space="preserve">    </v>
      </c>
      <c r="O123" s="194"/>
      <c r="P123" s="208">
        <f>IF(ISNUMBER(D123),LOOKUP(D123,$AB$5:$AC$7),D123)</f>
        <v>0</v>
      </c>
      <c r="Q123" s="208">
        <f t="shared" si="20"/>
        <v>0</v>
      </c>
      <c r="R123" s="301" t="str">
        <f t="shared" ca="1" si="16"/>
        <v/>
      </c>
      <c r="S123" s="305">
        <f>H123</f>
        <v>0</v>
      </c>
      <c r="T123" s="471"/>
      <c r="U123" s="216">
        <f ca="1">IF(L123="l","",IF(D123+F123&gt;0,SUM(Z123:AA123),-1))</f>
        <v>-1</v>
      </c>
      <c r="V123" s="386"/>
      <c r="W123" s="107"/>
      <c r="Z123" s="114">
        <f>IF(D123&gt;0,0,TRUNC(F123*T123+Y123*X123))</f>
        <v>0</v>
      </c>
      <c r="AA123" t="b">
        <f>IF($D123=1,SUM(Z$13:Z121)-SUM(AA$13:AA121),IF($D123=2,$AA$6,IF($D123=3,TRUNC($AA$6,-3))))</f>
        <v>0</v>
      </c>
      <c r="AB123">
        <f ca="1">IF(OR(AC$8=0,L122="l",D123&gt;0,U123=-1),0,IF(L122="b",-U123,TRUNC(F122*T123)))</f>
        <v>0</v>
      </c>
      <c r="AC123" t="b">
        <f>IF($D123=1,SUM(AB$13:AB121)-SUM(AC$13:AC121),IF($D123=2,$AA$5,IF($D123=3,TRUNC($AA$5,-3))))</f>
        <v>0</v>
      </c>
    </row>
    <row r="124" spans="3:29" ht="15" customHeight="1" x14ac:dyDescent="0.15">
      <c r="C124" s="182"/>
      <c r="D124" s="210"/>
      <c r="E124" s="184"/>
      <c r="F124" s="227"/>
      <c r="G124" s="297" t="str">
        <f ca="1">IF(OR(AC$8=0,L124="b"),"",IF(L124="l",0,"("&amp;FIXED(-F124,K125,0)&amp;M124))</f>
        <v/>
      </c>
      <c r="H124" s="183"/>
      <c r="I124" s="185"/>
      <c r="L124" t="str">
        <f t="shared" ca="1" si="15"/>
        <v>b</v>
      </c>
      <c r="M124" t="str">
        <f>")"&amp;REPT(" ",2-K125)&amp;IF(K125=0," ","")</f>
        <v xml:space="preserve">)   </v>
      </c>
      <c r="O124" s="194"/>
      <c r="P124" s="207">
        <f>D124</f>
        <v>0</v>
      </c>
      <c r="Q124" s="207">
        <f t="shared" si="20"/>
        <v>0</v>
      </c>
      <c r="R124" s="300" t="str">
        <f t="shared" ca="1" si="16"/>
        <v/>
      </c>
      <c r="S124" s="304"/>
      <c r="T124" s="144"/>
      <c r="U124" s="206">
        <f ca="1">IF(OR(AC$8=0,SUM(Z125:AC125)=0),1,IF(L124="l","",SUM(AB125:AC125)))</f>
        <v>1</v>
      </c>
      <c r="V124" s="385"/>
      <c r="W124" s="50"/>
    </row>
    <row r="125" spans="3:29" ht="15" customHeight="1" x14ac:dyDescent="0.15">
      <c r="C125" s="186"/>
      <c r="D125" s="205"/>
      <c r="E125" s="188"/>
      <c r="F125" s="226"/>
      <c r="G125" s="296" t="str">
        <f ca="1">IF(L125="b","",IF(L125="l",0,FIXED(F125,K125,0)&amp;M125))</f>
        <v/>
      </c>
      <c r="H125" s="187"/>
      <c r="I125" s="189"/>
      <c r="K125" s="215"/>
      <c r="L125" t="str">
        <f t="shared" ca="1" si="15"/>
        <v>b</v>
      </c>
      <c r="M125" t="str">
        <f>REPT(" ",3-K125)&amp;IF(K125=0," ","")</f>
        <v xml:space="preserve">    </v>
      </c>
      <c r="O125" s="194"/>
      <c r="P125" s="208">
        <f>IF(ISNUMBER(D125),LOOKUP(D125,$AB$5:$AC$7),D125)</f>
        <v>0</v>
      </c>
      <c r="Q125" s="208">
        <f t="shared" si="20"/>
        <v>0</v>
      </c>
      <c r="R125" s="301" t="str">
        <f t="shared" ca="1" si="16"/>
        <v/>
      </c>
      <c r="S125" s="305">
        <f>H125</f>
        <v>0</v>
      </c>
      <c r="T125" s="145"/>
      <c r="U125" s="216">
        <f ca="1">IF(L125="l","",IF(D125+F125&gt;0,SUM(Z125:AA125),-1))</f>
        <v>-1</v>
      </c>
      <c r="V125" s="386"/>
      <c r="W125" s="107"/>
      <c r="Z125" s="114">
        <f>IF(D125&gt;0,0,TRUNC(F125*T125+Y125*X125))</f>
        <v>0</v>
      </c>
      <c r="AA125" t="b">
        <f>IF($D125=1,SUM(Z$13:Z123)-SUM(AA$13:AA123),IF($D125=2,$AA$6,IF($D125=3,TRUNC($AA$6,-3))))</f>
        <v>0</v>
      </c>
      <c r="AB125">
        <f ca="1">IF(OR(AC$8=0,L124="l",D125&gt;0,U125=-1),0,IF(L124="b",-U125,TRUNC(F124*T125)))</f>
        <v>0</v>
      </c>
      <c r="AC125" t="b">
        <f>IF($D125=1,SUM(AB$13:AB123)-SUM(AC$13:AC123),IF($D125=2,$AA$5,IF($D125=3,TRUNC($AA$5,-3))))</f>
        <v>0</v>
      </c>
    </row>
    <row r="126" spans="3:29" ht="15" customHeight="1" x14ac:dyDescent="0.15">
      <c r="C126" s="182"/>
      <c r="D126" s="210"/>
      <c r="E126" s="184"/>
      <c r="F126" s="227"/>
      <c r="G126" s="297" t="str">
        <f ca="1">IF(OR(AC$8=0,L126="b"),"",IF(L126="l",0,"("&amp;FIXED(-F126,K127,0)&amp;M126))</f>
        <v/>
      </c>
      <c r="H126" s="183"/>
      <c r="I126" s="185"/>
      <c r="L126" t="str">
        <f t="shared" ca="1" si="15"/>
        <v>b</v>
      </c>
      <c r="M126" t="str">
        <f>")"&amp;REPT(" ",2-K127)&amp;IF(K127=0," ","")</f>
        <v xml:space="preserve">)   </v>
      </c>
      <c r="O126" s="194"/>
      <c r="P126" s="207">
        <f>D126</f>
        <v>0</v>
      </c>
      <c r="Q126" s="207">
        <f t="shared" si="20"/>
        <v>0</v>
      </c>
      <c r="R126" s="300" t="str">
        <f t="shared" ca="1" si="16"/>
        <v/>
      </c>
      <c r="S126" s="304"/>
      <c r="T126" s="369"/>
      <c r="U126" s="206">
        <f ca="1">IF(OR(AC$8=0,SUM(Z127:AC127)=0),1,IF(L126="l","",SUM(AB127:AC127)))</f>
        <v>1</v>
      </c>
      <c r="V126" s="387"/>
      <c r="W126" s="50"/>
    </row>
    <row r="127" spans="3:29" ht="15" customHeight="1" x14ac:dyDescent="0.15">
      <c r="C127" s="186"/>
      <c r="D127" s="205"/>
      <c r="E127" s="188"/>
      <c r="F127" s="226"/>
      <c r="G127" s="296" t="str">
        <f ca="1">IF(L127="b","",IF(L127="l",0,FIXED(F127,K127,0)&amp;M127))</f>
        <v/>
      </c>
      <c r="H127" s="187"/>
      <c r="I127" s="189"/>
      <c r="K127" s="215"/>
      <c r="L127" t="str">
        <f t="shared" ca="1" si="15"/>
        <v>b</v>
      </c>
      <c r="M127" t="str">
        <f>REPT(" ",3-K127)&amp;IF(K127=0," ","")</f>
        <v xml:space="preserve">    </v>
      </c>
      <c r="O127" s="194"/>
      <c r="P127" s="208">
        <f>IF(ISNUMBER(D127),LOOKUP(D127,$AB$5:$AC$7),D127)</f>
        <v>0</v>
      </c>
      <c r="Q127" s="208">
        <f t="shared" si="20"/>
        <v>0</v>
      </c>
      <c r="R127" s="301" t="str">
        <f t="shared" ca="1" si="16"/>
        <v/>
      </c>
      <c r="S127" s="305">
        <f>H127</f>
        <v>0</v>
      </c>
      <c r="T127" s="370"/>
      <c r="U127" s="216">
        <f ca="1">IF(L127="l","",IF(D127+F127&gt;0,SUM(Z127:AA127),-1))</f>
        <v>-1</v>
      </c>
      <c r="V127" s="454"/>
      <c r="W127" s="107"/>
      <c r="Z127" s="114">
        <f>IF(D127&gt;0,0,TRUNC(F127*T127+Y127*X127))</f>
        <v>0</v>
      </c>
      <c r="AA127" t="b">
        <f>IF($D127=1,SUM(Z$13:Z125)-SUM(AA$13:AA125),IF($D127=2,$AA$6,IF($D127=3,TRUNC($AA$6,-3))))</f>
        <v>0</v>
      </c>
      <c r="AB127">
        <f ca="1">IF(OR(AC$8=0,L126="l",D127&gt;0,U127=-1),0,IF(L126="b",-U127,TRUNC(F126*T127)))</f>
        <v>0</v>
      </c>
      <c r="AC127" t="b">
        <f>IF($D127=1,SUM(AB$13:AB125)-SUM(AC$13:AC125),IF($D127=2,$AA$5,IF($D127=3,TRUNC($AA$5,-3))))</f>
        <v>0</v>
      </c>
    </row>
    <row r="128" spans="3:29" ht="15" customHeight="1" x14ac:dyDescent="0.15">
      <c r="C128" s="182"/>
      <c r="D128" s="210"/>
      <c r="E128" s="184"/>
      <c r="F128" s="227"/>
      <c r="G128" s="297" t="str">
        <f ca="1">IF(OR(AC$8=0,L128="b"),"",IF(L128="l",0,"("&amp;FIXED(-F128,K129,0)&amp;M128))</f>
        <v/>
      </c>
      <c r="H128" s="183"/>
      <c r="I128" s="185"/>
      <c r="L128" t="str">
        <f t="shared" ref="L128:L143" ca="1" si="21">CELL("type",F128)</f>
        <v>b</v>
      </c>
      <c r="M128" t="str">
        <f>")"&amp;REPT(" ",2-K129)&amp;IF(K129=0," ","")</f>
        <v xml:space="preserve">)   </v>
      </c>
      <c r="O128" s="194"/>
      <c r="P128" s="207">
        <f>D128</f>
        <v>0</v>
      </c>
      <c r="Q128" s="207">
        <f t="shared" ref="Q128:Q143" si="22">E128</f>
        <v>0</v>
      </c>
      <c r="R128" s="300" t="str">
        <f t="shared" ref="R128:R143" ca="1" si="23">G128</f>
        <v/>
      </c>
      <c r="S128" s="304"/>
      <c r="T128" s="369"/>
      <c r="U128" s="206">
        <f ca="1">IF(OR(AC$8=0,SUM(Z129:AC129)=0),1,IF(L128="l","",SUM(AB129:AC129)))</f>
        <v>1</v>
      </c>
      <c r="V128" s="387"/>
      <c r="W128" s="50"/>
    </row>
    <row r="129" spans="1:29" ht="15" customHeight="1" x14ac:dyDescent="0.15">
      <c r="C129" s="186"/>
      <c r="D129" s="205"/>
      <c r="E129" s="188"/>
      <c r="F129" s="226"/>
      <c r="G129" s="296" t="str">
        <f ca="1">IF(L129="b","",IF(L129="l",0,FIXED(F129,K129,0)&amp;M129))</f>
        <v/>
      </c>
      <c r="H129" s="187"/>
      <c r="I129" s="189"/>
      <c r="K129" s="215"/>
      <c r="L129" t="str">
        <f t="shared" ca="1" si="21"/>
        <v>b</v>
      </c>
      <c r="M129" t="str">
        <f>REPT(" ",3-K129)&amp;IF(K129=0," ","")</f>
        <v xml:space="preserve">    </v>
      </c>
      <c r="O129" s="194"/>
      <c r="P129" s="208">
        <f>IF(ISNUMBER(D129),LOOKUP(D129,$AB$5:$AC$7),D129)</f>
        <v>0</v>
      </c>
      <c r="Q129" s="208">
        <f t="shared" si="22"/>
        <v>0</v>
      </c>
      <c r="R129" s="301" t="str">
        <f t="shared" ca="1" si="23"/>
        <v/>
      </c>
      <c r="S129" s="305">
        <f>H129</f>
        <v>0</v>
      </c>
      <c r="T129" s="370"/>
      <c r="U129" s="216">
        <f ca="1">IF(L129="l","",IF(D129+F129&gt;0,SUM(Z129:AA129),-1))</f>
        <v>-1</v>
      </c>
      <c r="V129" s="472"/>
      <c r="W129" s="107"/>
      <c r="Z129" s="114">
        <f>IF(D129&gt;0,0,TRUNC(F129*T129+Y129*X129))</f>
        <v>0</v>
      </c>
      <c r="AA129" t="b">
        <f>IF($D129=1,SUM(Z$13:Z127)-SUM(AA$13:AA127),IF($D129=2,$AA$6,IF($D129=3,TRUNC($AA$6,-3))))</f>
        <v>0</v>
      </c>
      <c r="AB129">
        <f ca="1">IF(OR(AC$8=0,L128="l",D129&gt;0,U129=-1),0,IF(L128="b",-U129,TRUNC(F128*T129)))</f>
        <v>0</v>
      </c>
      <c r="AC129" t="b">
        <f>IF($D129=1,SUM(AB$13:AB127)-SUM(AC$13:AC127),IF($D129=2,$AA$5,IF($D129=3,TRUNC($AA$5,-3))))</f>
        <v>0</v>
      </c>
    </row>
    <row r="130" spans="1:29" ht="15" customHeight="1" x14ac:dyDescent="0.15">
      <c r="C130" s="182"/>
      <c r="D130" s="210"/>
      <c r="E130" s="184"/>
      <c r="F130" s="227"/>
      <c r="G130" s="297" t="str">
        <f ca="1">IF(OR(AC$8=0,L130="b"),"",IF(L130="l",0,"("&amp;FIXED(-F130,K131,0)&amp;M130))</f>
        <v/>
      </c>
      <c r="H130" s="183"/>
      <c r="I130" s="185"/>
      <c r="L130" t="str">
        <f t="shared" ca="1" si="21"/>
        <v>b</v>
      </c>
      <c r="M130" t="str">
        <f>")"&amp;REPT(" ",2-K131)&amp;IF(K131=0," ","")</f>
        <v xml:space="preserve">)   </v>
      </c>
      <c r="O130" s="194"/>
      <c r="P130" s="207">
        <f>D130</f>
        <v>0</v>
      </c>
      <c r="Q130" s="207">
        <f t="shared" si="22"/>
        <v>0</v>
      </c>
      <c r="R130" s="300" t="str">
        <f t="shared" ca="1" si="23"/>
        <v/>
      </c>
      <c r="S130" s="304"/>
      <c r="T130" s="369"/>
      <c r="U130" s="206">
        <f ca="1">IF(OR(AC$8=0,SUM(Z131:AC131)=0),1,IF(L130="l","",SUM(AB131:AC131)))</f>
        <v>1</v>
      </c>
      <c r="V130" s="387"/>
      <c r="W130" s="50"/>
    </row>
    <row r="131" spans="1:29" ht="15" customHeight="1" x14ac:dyDescent="0.15">
      <c r="C131" s="186"/>
      <c r="D131" s="205"/>
      <c r="E131" s="188"/>
      <c r="F131" s="226"/>
      <c r="G131" s="296" t="str">
        <f ca="1">IF(L131="b","",IF(L131="l",0,FIXED(F131,K131,0)&amp;M131))</f>
        <v/>
      </c>
      <c r="H131" s="187"/>
      <c r="I131" s="189"/>
      <c r="K131" s="215"/>
      <c r="L131" t="str">
        <f t="shared" ca="1" si="21"/>
        <v>b</v>
      </c>
      <c r="M131" t="str">
        <f>REPT(" ",3-K131)&amp;IF(K131=0," ","")</f>
        <v xml:space="preserve">    </v>
      </c>
      <c r="O131" s="194"/>
      <c r="P131" s="208">
        <f>IF(ISNUMBER(D131),LOOKUP(D131,$AB$5:$AC$7),D131)</f>
        <v>0</v>
      </c>
      <c r="Q131" s="208">
        <f t="shared" si="22"/>
        <v>0</v>
      </c>
      <c r="R131" s="301" t="str">
        <f t="shared" ca="1" si="23"/>
        <v/>
      </c>
      <c r="S131" s="305">
        <f>H131</f>
        <v>0</v>
      </c>
      <c r="T131" s="370"/>
      <c r="U131" s="216">
        <f ca="1">IF(L131="l","",IF(D131+F131&gt;0,SUM(Z131:AA131),-1))</f>
        <v>-1</v>
      </c>
      <c r="V131" s="388"/>
      <c r="W131" s="107"/>
      <c r="Z131" s="114">
        <f>IF(D131&gt;0,0,TRUNC(F131*T131+Y131*X131))</f>
        <v>0</v>
      </c>
      <c r="AA131" t="b">
        <f>IF($D131=1,SUM(Z$13:Z129)-SUM(AA$13:AA129),IF($D131=2,$AA$6,IF($D131=3,TRUNC($AA$6,-3))))</f>
        <v>0</v>
      </c>
      <c r="AB131">
        <f ca="1">IF(OR(AC$8=0,L130="l",D131&gt;0,U131=-1),0,IF(L130="b",-U131,TRUNC(F130*T131)))</f>
        <v>0</v>
      </c>
      <c r="AC131" t="b">
        <f>IF($D131=1,SUM(AB$13:AB129)-SUM(AC$13:AC129),IF($D131=2,$AA$5,IF($D131=3,TRUNC($AA$5,-3))))</f>
        <v>0</v>
      </c>
    </row>
    <row r="132" spans="1:29" ht="15" customHeight="1" x14ac:dyDescent="0.15">
      <c r="C132" s="182"/>
      <c r="D132" s="210"/>
      <c r="E132" s="184"/>
      <c r="F132" s="227"/>
      <c r="G132" s="297" t="str">
        <f ca="1">IF(OR(AC$8=0,L132="b"),"",IF(L132="l",0,"("&amp;FIXED(-F132,K133,0)&amp;M132))</f>
        <v/>
      </c>
      <c r="H132" s="183"/>
      <c r="I132" s="185"/>
      <c r="L132" t="str">
        <f t="shared" ca="1" si="21"/>
        <v>b</v>
      </c>
      <c r="M132" t="str">
        <f>")"&amp;REPT(" ",2-K133)&amp;IF(K133=0," ","")</f>
        <v xml:space="preserve">)   </v>
      </c>
      <c r="O132" s="194"/>
      <c r="P132" s="207">
        <f>D132</f>
        <v>0</v>
      </c>
      <c r="Q132" s="207">
        <f t="shared" si="22"/>
        <v>0</v>
      </c>
      <c r="R132" s="300" t="str">
        <f t="shared" ca="1" si="23"/>
        <v/>
      </c>
      <c r="S132" s="304"/>
      <c r="T132" s="369"/>
      <c r="U132" s="206">
        <f ca="1">IF(OR(AC$8=0,SUM(Z133:AC133)=0),1,IF(L132="l","",SUM(AB133:AC133)))</f>
        <v>1</v>
      </c>
      <c r="V132" s="387"/>
      <c r="W132" s="50"/>
    </row>
    <row r="133" spans="1:29" ht="15" customHeight="1" x14ac:dyDescent="0.15">
      <c r="C133" s="186"/>
      <c r="D133" s="205"/>
      <c r="E133" s="188"/>
      <c r="F133" s="226"/>
      <c r="G133" s="296" t="str">
        <f ca="1">IF(L133="b","",IF(L133="l",0,FIXED(F133,K133,0)&amp;M133))</f>
        <v/>
      </c>
      <c r="H133" s="187"/>
      <c r="I133" s="189"/>
      <c r="K133" s="215"/>
      <c r="L133" t="str">
        <f t="shared" ca="1" si="21"/>
        <v>b</v>
      </c>
      <c r="M133" t="str">
        <f>REPT(" ",3-K133)&amp;IF(K133=0," ","")</f>
        <v xml:space="preserve">    </v>
      </c>
      <c r="O133" s="194"/>
      <c r="P133" s="208">
        <f>IF(ISNUMBER(D133),LOOKUP(D133,$AB$5:$AC$7),D133)</f>
        <v>0</v>
      </c>
      <c r="Q133" s="208">
        <f t="shared" si="22"/>
        <v>0</v>
      </c>
      <c r="R133" s="301" t="str">
        <f t="shared" ca="1" si="23"/>
        <v/>
      </c>
      <c r="S133" s="305">
        <f>H133</f>
        <v>0</v>
      </c>
      <c r="T133" s="370"/>
      <c r="U133" s="216">
        <f ca="1">IF(L133="l","",IF(D133+F133&gt;0,SUM(Z133:AA133),-1))</f>
        <v>-1</v>
      </c>
      <c r="V133" s="388"/>
      <c r="W133" s="107"/>
      <c r="Z133" s="114">
        <f>IF(D133&gt;0,0,TRUNC(F133*T133+Y133*X133))</f>
        <v>0</v>
      </c>
      <c r="AA133" t="b">
        <f>IF($D133=1,SUM(Z$13:Z131)-SUM(AA$13:AA131),IF($D133=2,$AA$6,IF($D133=3,TRUNC($AA$6,-3))))</f>
        <v>0</v>
      </c>
      <c r="AB133">
        <f ca="1">IF(OR(AC$8=0,L132="l",D133&gt;0,U133=-1),0,IF(L132="b",-U133,TRUNC(F132*T133)))</f>
        <v>0</v>
      </c>
      <c r="AC133" t="b">
        <f>IF($D133=1,SUM(AB$13:AB131)-SUM(AC$13:AC131),IF($D133=2,$AA$5,IF($D133=3,TRUNC($AA$5,-3))))</f>
        <v>0</v>
      </c>
    </row>
    <row r="134" spans="1:29" ht="15" customHeight="1" x14ac:dyDescent="0.15">
      <c r="C134" s="182"/>
      <c r="D134" s="210"/>
      <c r="E134" s="184"/>
      <c r="F134" s="227"/>
      <c r="G134" s="297" t="str">
        <f ca="1">IF(OR(AC$8=0,L134="b"),"",IF(L134="l",0,"("&amp;FIXED(-F134,K135,0)&amp;M134))</f>
        <v/>
      </c>
      <c r="H134" s="183"/>
      <c r="I134" s="185"/>
      <c r="L134" t="str">
        <f t="shared" ca="1" si="21"/>
        <v>b</v>
      </c>
      <c r="M134" t="str">
        <f>")"&amp;REPT(" ",2-K135)&amp;IF(K135=0," ","")</f>
        <v xml:space="preserve">)   </v>
      </c>
      <c r="O134" s="194"/>
      <c r="P134" s="207">
        <f>D134</f>
        <v>0</v>
      </c>
      <c r="Q134" s="207">
        <f t="shared" si="22"/>
        <v>0</v>
      </c>
      <c r="R134" s="300" t="str">
        <f t="shared" ca="1" si="23"/>
        <v/>
      </c>
      <c r="S134" s="304"/>
      <c r="T134" s="369"/>
      <c r="U134" s="206">
        <f ca="1">IF(OR(AC$8=0,SUM(Z135:AC135)=0),1,IF(L134="l","",SUM(AB135:AC135)))</f>
        <v>1</v>
      </c>
      <c r="V134" s="387"/>
      <c r="W134" s="50"/>
    </row>
    <row r="135" spans="1:29" ht="15" customHeight="1" x14ac:dyDescent="0.15">
      <c r="C135" s="186"/>
      <c r="D135" s="205"/>
      <c r="E135" s="188"/>
      <c r="F135" s="226"/>
      <c r="G135" s="296" t="str">
        <f ca="1">IF(L135="b","",IF(L135="l",0,FIXED(F135,K135,0)&amp;M135))</f>
        <v/>
      </c>
      <c r="H135" s="187"/>
      <c r="I135" s="189"/>
      <c r="K135" s="215"/>
      <c r="L135" t="str">
        <f t="shared" ca="1" si="21"/>
        <v>b</v>
      </c>
      <c r="M135" t="str">
        <f>REPT(" ",3-K135)&amp;IF(K135=0," ","")</f>
        <v xml:space="preserve">    </v>
      </c>
      <c r="O135" s="194"/>
      <c r="P135" s="208">
        <f>IF(ISNUMBER(D135),LOOKUP(D135,$AB$5:$AC$7),D135)</f>
        <v>0</v>
      </c>
      <c r="Q135" s="208">
        <f t="shared" si="22"/>
        <v>0</v>
      </c>
      <c r="R135" s="301" t="str">
        <f t="shared" ca="1" si="23"/>
        <v/>
      </c>
      <c r="S135" s="305">
        <f>H135</f>
        <v>0</v>
      </c>
      <c r="T135" s="370"/>
      <c r="U135" s="216">
        <f ca="1">IF(L135="l","",IF(D135+F135&gt;0,SUM(Z135:AA135),-1))</f>
        <v>-1</v>
      </c>
      <c r="V135" s="388"/>
      <c r="W135" s="107"/>
      <c r="Z135" s="114">
        <f>IF(D135&gt;0,0,TRUNC(F135*T135+Y135*X135))</f>
        <v>0</v>
      </c>
      <c r="AA135" t="b">
        <f>IF($D135=1,SUM(Z$13:Z133)-SUM(AA$13:AA133),IF($D135=2,$AA$6,IF($D135=3,TRUNC($AA$6,-3))))</f>
        <v>0</v>
      </c>
      <c r="AB135">
        <f ca="1">IF(OR(AC$8=0,L134="l",D135&gt;0,U135=-1),0,IF(L134="b",-U135,TRUNC(F134*T135)))</f>
        <v>0</v>
      </c>
      <c r="AC135" t="b">
        <f>IF($D135=1,SUM(AB$13:AB133)-SUM(AC$13:AC133),IF($D135=2,$AA$5,IF($D135=3,TRUNC($AA$5,-3))))</f>
        <v>0</v>
      </c>
    </row>
    <row r="136" spans="1:29" ht="15" customHeight="1" x14ac:dyDescent="0.15">
      <c r="C136" s="182"/>
      <c r="D136" s="210"/>
      <c r="E136" s="184"/>
      <c r="F136" s="225"/>
      <c r="G136" s="297" t="str">
        <f ca="1">IF(OR(AC$8=0,L136="b"),"",IF(L136="l",0,"("&amp;FIXED(-F136,K137,0)&amp;M136))</f>
        <v/>
      </c>
      <c r="H136" s="183"/>
      <c r="I136" s="185"/>
      <c r="L136" t="str">
        <f t="shared" ca="1" si="21"/>
        <v>b</v>
      </c>
      <c r="M136" t="str">
        <f>")"&amp;REPT(" ",2-K137)&amp;IF(K137=0," ","")</f>
        <v xml:space="preserve">)   </v>
      </c>
      <c r="O136" s="194"/>
      <c r="P136" s="207">
        <f>D136</f>
        <v>0</v>
      </c>
      <c r="Q136" s="207">
        <f t="shared" si="22"/>
        <v>0</v>
      </c>
      <c r="R136" s="300" t="str">
        <f t="shared" ca="1" si="23"/>
        <v/>
      </c>
      <c r="S136" s="304"/>
      <c r="T136" s="144"/>
      <c r="U136" s="206">
        <f ca="1">IF(OR(AC$8=0,SUM(Z137:AC137)=0),1,IF(L136="l","",SUM(AB137:AC137)))</f>
        <v>1</v>
      </c>
      <c r="V136" s="385"/>
      <c r="W136" s="50"/>
    </row>
    <row r="137" spans="1:29" ht="15" customHeight="1" x14ac:dyDescent="0.15">
      <c r="C137" s="186"/>
      <c r="D137" s="205"/>
      <c r="E137" s="188"/>
      <c r="F137" s="226"/>
      <c r="G137" s="296" t="str">
        <f ca="1">IF(L137="b","",IF(L137="l",0,FIXED(F137,K137,0)&amp;M137))</f>
        <v/>
      </c>
      <c r="H137" s="187"/>
      <c r="I137" s="189"/>
      <c r="K137" s="215"/>
      <c r="L137" t="str">
        <f t="shared" ca="1" si="21"/>
        <v>b</v>
      </c>
      <c r="M137" t="str">
        <f>REPT(" ",3-K137)&amp;IF(K137=0," ","")</f>
        <v xml:space="preserve">    </v>
      </c>
      <c r="O137" s="194"/>
      <c r="P137" s="208">
        <f>IF(ISNUMBER(D137),LOOKUP(D137,$AB$5:$AC$7),D137)</f>
        <v>0</v>
      </c>
      <c r="Q137" s="208">
        <f t="shared" si="22"/>
        <v>0</v>
      </c>
      <c r="R137" s="301" t="str">
        <f t="shared" ca="1" si="23"/>
        <v/>
      </c>
      <c r="S137" s="305">
        <f>H137</f>
        <v>0</v>
      </c>
      <c r="T137" s="145"/>
      <c r="U137" s="216">
        <f ca="1">IF(L137="l","",IF(D137+F137&gt;0,SUM(Z137:AA137),-1))</f>
        <v>-1</v>
      </c>
      <c r="V137" s="386"/>
      <c r="W137" s="107"/>
      <c r="Z137" s="114">
        <f>IF(D137&gt;0,0,TRUNC(F137*T137+Y137*X137))</f>
        <v>0</v>
      </c>
      <c r="AA137" t="b">
        <f>IF($D137=1,SUM(Z$13:Z135)-SUM(AA$13:AA135),IF($D137=2,$AA$6,IF($D137=3,TRUNC($AA$6,-3))))</f>
        <v>0</v>
      </c>
      <c r="AB137">
        <f ca="1">IF(OR(AC$8=0,L136="l",D137&gt;0,U137=-1),0,IF(L136="b",-U137,TRUNC(F136*T137)))</f>
        <v>0</v>
      </c>
      <c r="AC137" t="b">
        <f>IF($D137=1,SUM(AB$13:AB135)-SUM(AC$13:AC135),IF($D137=2,$AA$5,IF($D137=3,TRUNC($AA$5,-3))))</f>
        <v>0</v>
      </c>
    </row>
    <row r="138" spans="1:29" ht="15" customHeight="1" x14ac:dyDescent="0.15">
      <c r="C138" s="182"/>
      <c r="D138" s="210"/>
      <c r="E138" s="184"/>
      <c r="F138" s="225"/>
      <c r="G138" s="297" t="str">
        <f ca="1">IF(OR(AC$8=0,L138="b"),"",IF(L138="l",0,"("&amp;FIXED(-F138,K139,0)&amp;M138))</f>
        <v/>
      </c>
      <c r="H138" s="183"/>
      <c r="I138" s="185"/>
      <c r="L138" t="str">
        <f t="shared" ca="1" si="21"/>
        <v>b</v>
      </c>
      <c r="M138" t="str">
        <f>")"&amp;REPT(" ",2-K139)&amp;IF(K139=0," ","")</f>
        <v xml:space="preserve">)   </v>
      </c>
      <c r="O138" s="182"/>
      <c r="P138" s="207">
        <f>D138</f>
        <v>0</v>
      </c>
      <c r="Q138" s="207">
        <f t="shared" si="22"/>
        <v>0</v>
      </c>
      <c r="R138" s="300" t="str">
        <f t="shared" ca="1" si="23"/>
        <v/>
      </c>
      <c r="S138" s="304"/>
      <c r="T138" s="144"/>
      <c r="U138" s="206">
        <f ca="1">IF(OR(AC$8=0,SUM(Z139:AC139)=0),1,IF(L138="l","",SUM(AB139:AC139)))</f>
        <v>1</v>
      </c>
      <c r="V138" s="385"/>
      <c r="W138" s="50"/>
    </row>
    <row r="139" spans="1:29" ht="15" customHeight="1" x14ac:dyDescent="0.15">
      <c r="C139" s="186"/>
      <c r="D139" s="205">
        <v>2</v>
      </c>
      <c r="E139" s="188"/>
      <c r="F139" s="226"/>
      <c r="G139" s="296" t="str">
        <f ca="1">IF(L139="b","",IF(L139="l",0,FIXED(F139,K139,0)&amp;M139))</f>
        <v/>
      </c>
      <c r="H139" s="187"/>
      <c r="I139" s="189"/>
      <c r="K139" s="215"/>
      <c r="L139" t="str">
        <f t="shared" ca="1" si="21"/>
        <v>b</v>
      </c>
      <c r="M139" t="str">
        <f>REPT(" ",3-K139)&amp;IF(K139=0," ","")</f>
        <v xml:space="preserve">    </v>
      </c>
      <c r="O139" s="182"/>
      <c r="P139" s="208" t="str">
        <f>IF(ISNUMBER(D139),LOOKUP(D139,$AB$5:$AC$7),D139)</f>
        <v>合　　　計</v>
      </c>
      <c r="Q139" s="208">
        <f t="shared" si="22"/>
        <v>0</v>
      </c>
      <c r="R139" s="301" t="str">
        <f t="shared" ca="1" si="23"/>
        <v/>
      </c>
      <c r="S139" s="305">
        <f>H139</f>
        <v>0</v>
      </c>
      <c r="T139" s="145"/>
      <c r="U139" s="216">
        <f ca="1">IF(L139="l","",IF(D139+F139&gt;0,SUM(Z139:AA139),-1))</f>
        <v>692375</v>
      </c>
      <c r="V139" s="386"/>
      <c r="W139" s="107"/>
      <c r="Z139" s="114">
        <f>IF(D139&gt;0,0,TRUNC(F139*T139+Y139*X139))</f>
        <v>0</v>
      </c>
      <c r="AA139">
        <f ca="1">IF($D139=1,SUM(Z$13:Z137)-SUM(AA$13:AA137),IF($D139=2,$AA$6,IF($D139=3,TRUNC($AA$6,-3))))</f>
        <v>692375</v>
      </c>
      <c r="AB139">
        <f ca="1">IF(OR(AC$8=0,L138="l",D139&gt;0,U139=-1),0,IF(L138="b",-U139,TRUNC(F138*T139)))</f>
        <v>0</v>
      </c>
      <c r="AC139">
        <f ca="1">IF($D139=1,SUM(AB$13:AB137)-SUM(AC$13:AC137),IF($D139=2,$AA$5,IF($D139=3,TRUNC($AA$5,-3))))</f>
        <v>0</v>
      </c>
    </row>
    <row r="140" spans="1:29" ht="15" customHeight="1" x14ac:dyDescent="0.15">
      <c r="C140" s="182"/>
      <c r="D140" s="210"/>
      <c r="E140" s="184"/>
      <c r="F140" s="227"/>
      <c r="G140" s="297" t="str">
        <f ca="1">IF(OR(AC$8=0,L140="b"),"",IF(L140="l",0,"("&amp;FIXED(-F140,K141,0)&amp;M140))</f>
        <v/>
      </c>
      <c r="H140" s="183"/>
      <c r="I140" s="185"/>
      <c r="L140" t="str">
        <f t="shared" ca="1" si="21"/>
        <v>b</v>
      </c>
      <c r="M140" t="str">
        <f>")"&amp;REPT(" ",2-K141)&amp;IF(K141=0," ","")</f>
        <v xml:space="preserve">)   </v>
      </c>
      <c r="O140" s="182"/>
      <c r="P140" s="207">
        <f>D140</f>
        <v>0</v>
      </c>
      <c r="Q140" s="207">
        <f t="shared" si="22"/>
        <v>0</v>
      </c>
      <c r="R140" s="300" t="str">
        <f t="shared" ca="1" si="23"/>
        <v/>
      </c>
      <c r="S140" s="304"/>
      <c r="T140" s="144"/>
      <c r="U140" s="206">
        <f ca="1">IF(OR(AC$8=0,SUM(Z141:AC141)=0),1,IF(L140="l","",SUM(AB141:AC141)))</f>
        <v>1</v>
      </c>
      <c r="V140" s="385"/>
      <c r="W140" s="50"/>
    </row>
    <row r="141" spans="1:29" ht="15" customHeight="1" x14ac:dyDescent="0.15">
      <c r="C141" s="186"/>
      <c r="D141" s="205">
        <v>3</v>
      </c>
      <c r="E141" s="188"/>
      <c r="F141" s="226"/>
      <c r="G141" s="296" t="str">
        <f ca="1">IF(L141="b","",IF(L141="l",0,FIXED(F141,K141,0)&amp;M141))</f>
        <v/>
      </c>
      <c r="H141" s="187"/>
      <c r="I141" s="189"/>
      <c r="K141" s="215"/>
      <c r="L141" t="str">
        <f t="shared" ca="1" si="21"/>
        <v>b</v>
      </c>
      <c r="M141" t="str">
        <f>REPT(" ",3-K141)&amp;IF(K141=0," ","")</f>
        <v xml:space="preserve">    </v>
      </c>
      <c r="O141" s="182"/>
      <c r="P141" s="208" t="str">
        <f>IF(ISNUMBER(D141),LOOKUP(D141,$AB$5:$AC$7),D141)</f>
        <v>改　　　め</v>
      </c>
      <c r="Q141" s="208">
        <f t="shared" si="22"/>
        <v>0</v>
      </c>
      <c r="R141" s="301" t="str">
        <f t="shared" ca="1" si="23"/>
        <v/>
      </c>
      <c r="S141" s="305">
        <f>H141</f>
        <v>0</v>
      </c>
      <c r="T141" s="145"/>
      <c r="U141" s="216">
        <f ca="1">IF(L141="l","",IF(D141+F141&gt;0,SUM(Z141:AA141),-1))</f>
        <v>692000</v>
      </c>
      <c r="V141" s="386"/>
      <c r="W141" s="107"/>
      <c r="Z141" s="114">
        <f>IF(D141&gt;0,0,TRUNC(F141*T141+Y141*X141))</f>
        <v>0</v>
      </c>
      <c r="AA141">
        <f ca="1">IF($D141=1,SUM(Z$13:Z139)-SUM(AA$13:AA139),IF($D141=2,$AA$6,IF($D141=3,TRUNC($AA$6,-3))))</f>
        <v>692000</v>
      </c>
      <c r="AB141">
        <f ca="1">IF(OR(AC$8=0,L140="l",D141&gt;0,U141=-1),0,IF(L140="b",-U141,TRUNC(F140*T141)))</f>
        <v>0</v>
      </c>
      <c r="AC141">
        <f ca="1">IF($D141=1,SUM(AB$13:AB139)-SUM(AC$13:AC139),IF($D141=2,$AA$5,IF($D141=3,TRUNC($AA$5,-3))))</f>
        <v>0</v>
      </c>
    </row>
    <row r="142" spans="1:29" ht="15" customHeight="1" x14ac:dyDescent="0.15">
      <c r="C142" s="182"/>
      <c r="D142" s="210"/>
      <c r="E142" s="184"/>
      <c r="F142" s="227"/>
      <c r="G142" s="297" t="str">
        <f ca="1">IF(OR(AC$8=0,L142="b"),"",IF(L142="l",0,"("&amp;FIXED(-F142,K143,0)&amp;M142))</f>
        <v/>
      </c>
      <c r="H142" s="183"/>
      <c r="I142" s="185"/>
      <c r="L142" t="str">
        <f t="shared" ca="1" si="21"/>
        <v>b</v>
      </c>
      <c r="M142" t="str">
        <f>")"&amp;REPT(" ",2-K143)&amp;IF(K143=0," ","")</f>
        <v xml:space="preserve">)   </v>
      </c>
      <c r="O142" s="182"/>
      <c r="P142" s="207">
        <f>D142</f>
        <v>0</v>
      </c>
      <c r="Q142" s="207">
        <f t="shared" si="22"/>
        <v>0</v>
      </c>
      <c r="R142" s="300" t="str">
        <f t="shared" ca="1" si="23"/>
        <v/>
      </c>
      <c r="S142" s="304"/>
      <c r="T142" s="144"/>
      <c r="U142" s="206">
        <f ca="1">IF(OR(AC$8=0,SUM(Z143:AC143)=0),1,IF(L142="l","",SUM(AB143:AC143)))</f>
        <v>1</v>
      </c>
      <c r="V142" s="385"/>
      <c r="W142" s="50"/>
    </row>
    <row r="143" spans="1:29" ht="15" customHeight="1" thickBot="1" x14ac:dyDescent="0.2">
      <c r="C143" s="190"/>
      <c r="D143" s="211"/>
      <c r="E143" s="192"/>
      <c r="F143" s="228"/>
      <c r="G143" s="299" t="str">
        <f ca="1">IF(L143="b","",IF(L143="l",0,FIXED(F143,K143,0)&amp;M143))</f>
        <v/>
      </c>
      <c r="H143" s="191"/>
      <c r="I143" s="193"/>
      <c r="K143" s="215"/>
      <c r="L143" t="str">
        <f t="shared" ca="1" si="21"/>
        <v>b</v>
      </c>
      <c r="M143" t="str">
        <f>REPT(" ",3-K143)&amp;IF(K143=0," ","")</f>
        <v xml:space="preserve">    </v>
      </c>
      <c r="O143" s="190"/>
      <c r="P143" s="209">
        <f>IF(ISNUMBER(D143),LOOKUP(D143,$AB$5:$AC$7),D143)</f>
        <v>0</v>
      </c>
      <c r="Q143" s="209">
        <f t="shared" si="22"/>
        <v>0</v>
      </c>
      <c r="R143" s="302" t="str">
        <f t="shared" ca="1" si="23"/>
        <v/>
      </c>
      <c r="S143" s="306">
        <f>H143</f>
        <v>0</v>
      </c>
      <c r="T143" s="146"/>
      <c r="U143" s="217">
        <f ca="1">IF(L143="l","",IF(D143+F143&gt;0,SUM(Z143:AA143),-1))</f>
        <v>-1</v>
      </c>
      <c r="V143" s="389"/>
      <c r="W143" s="55"/>
      <c r="Z143" s="114">
        <f>IF(D143&gt;0,0,TRUNC(F143*T143+Y143*X143))</f>
        <v>0</v>
      </c>
      <c r="AA143" t="b">
        <f>IF($D143=1,SUM(Z$13:Z141)-SUM(AA$13:AA141),IF($D143=2,$AA$6,IF($D143=3,TRUNC($AA$6,-3))))</f>
        <v>0</v>
      </c>
      <c r="AB143">
        <f ca="1">IF(OR(AC$8=0,L142="l",D143&gt;0,U143=-1),0,IF(L142="b",-U143,TRUNC(F142*T143)))</f>
        <v>0</v>
      </c>
      <c r="AC143" t="b">
        <f>IF($D143=1,SUM(AB$13:AB141)-SUM(AC$13:AC141),IF($D143=2,$AA$5,IF($D143=3,TRUNC($AA$5,-3))))</f>
        <v>0</v>
      </c>
    </row>
    <row r="144" spans="1:29" ht="13.5" customHeight="1" thickBot="1" x14ac:dyDescent="0.2">
      <c r="A144" s="257" t="b">
        <f>SUM(F149:F211)&gt;0</f>
        <v>0</v>
      </c>
      <c r="B144" s="257"/>
      <c r="C144" s="257"/>
      <c r="D144" s="257"/>
      <c r="E144" s="257"/>
      <c r="F144" s="257"/>
      <c r="G144" s="100" t="str">
        <f>G74</f>
        <v>電気設備(動力・計装)</v>
      </c>
      <c r="H144" s="257"/>
      <c r="I144" s="257" t="str">
        <f ca="1">"( "&amp;FIXED(SUM(A$8:A144),0)&amp;" ／ "&amp;FIXED(B$8,0)&amp;" )"</f>
        <v>( 2 ／ 2 )</v>
      </c>
      <c r="J144" s="257"/>
      <c r="K144" s="257"/>
      <c r="L144" s="257"/>
      <c r="M144" s="257"/>
      <c r="N144" s="257"/>
      <c r="O144" s="257"/>
      <c r="P144" s="257"/>
      <c r="Q144" s="257"/>
      <c r="R144" s="257"/>
      <c r="S144" s="257"/>
      <c r="T144" s="257"/>
      <c r="U144" s="258" t="str">
        <f>G144</f>
        <v>電気設備(動力・計装)</v>
      </c>
      <c r="V144" s="390"/>
      <c r="W144" s="257" t="str">
        <f ca="1">I144</f>
        <v>( 2 ／ 2 )</v>
      </c>
    </row>
    <row r="145" spans="3:29" ht="13.5" customHeight="1" x14ac:dyDescent="0.15">
      <c r="C145" s="16"/>
      <c r="D145" s="102"/>
      <c r="E145" s="102"/>
      <c r="F145" s="18"/>
      <c r="G145" s="102"/>
      <c r="H145" s="102"/>
      <c r="I145" s="48"/>
      <c r="O145" s="780" t="s">
        <v>258</v>
      </c>
      <c r="P145" s="47"/>
      <c r="Q145" s="47"/>
      <c r="R145" s="102"/>
      <c r="S145" s="47"/>
      <c r="T145" s="109" t="s">
        <v>88</v>
      </c>
      <c r="U145" s="110"/>
      <c r="V145" s="781" t="s">
        <v>257</v>
      </c>
      <c r="W145" s="48"/>
      <c r="Z145" s="114"/>
    </row>
    <row r="146" spans="3:29" ht="13.5" customHeight="1" x14ac:dyDescent="0.15">
      <c r="C146" s="24" t="s">
        <v>222</v>
      </c>
      <c r="D146" s="6" t="s">
        <v>223</v>
      </c>
      <c r="E146" s="7" t="s">
        <v>224</v>
      </c>
      <c r="F146" s="25"/>
      <c r="G146" s="6" t="s">
        <v>105</v>
      </c>
      <c r="H146" s="6" t="s">
        <v>92</v>
      </c>
      <c r="I146" s="69" t="s">
        <v>225</v>
      </c>
      <c r="O146" s="752"/>
      <c r="P146" s="6" t="s">
        <v>89</v>
      </c>
      <c r="Q146" s="6" t="s">
        <v>90</v>
      </c>
      <c r="R146" s="7" t="s">
        <v>91</v>
      </c>
      <c r="S146" s="6" t="s">
        <v>92</v>
      </c>
      <c r="T146" s="6" t="s">
        <v>93</v>
      </c>
      <c r="U146" s="6" t="s">
        <v>94</v>
      </c>
      <c r="V146" s="782"/>
      <c r="W146" s="106" t="s">
        <v>226</v>
      </c>
    </row>
    <row r="147" spans="3:29" ht="13.5" customHeight="1" thickBot="1" x14ac:dyDescent="0.2">
      <c r="C147" s="71"/>
      <c r="D147" s="40"/>
      <c r="E147" s="40"/>
      <c r="F147" s="36"/>
      <c r="G147" s="40"/>
      <c r="H147" s="40"/>
      <c r="I147" s="52"/>
      <c r="M147" t="s">
        <v>227</v>
      </c>
      <c r="O147" s="753"/>
      <c r="P147" s="39"/>
      <c r="Q147" s="39"/>
      <c r="R147" s="40"/>
      <c r="S147" s="39"/>
      <c r="T147" s="56" t="s">
        <v>96</v>
      </c>
      <c r="U147" s="56" t="s">
        <v>96</v>
      </c>
      <c r="V147" s="783"/>
      <c r="W147" s="52"/>
      <c r="Z147" s="114"/>
    </row>
    <row r="148" spans="3:29" ht="15" customHeight="1" thickTop="1" x14ac:dyDescent="0.15">
      <c r="C148" s="182"/>
      <c r="D148" s="210"/>
      <c r="E148" s="184"/>
      <c r="F148" s="227"/>
      <c r="G148" s="297" t="str">
        <f ca="1">IF(OR(AC$8=0,L148="b"),"",IF(L148="l",0,"("&amp;FIXED(-F148,K149,0)&amp;M148))</f>
        <v/>
      </c>
      <c r="H148" s="183"/>
      <c r="I148" s="185"/>
      <c r="L148" t="str">
        <f ca="1">CELL("type",F148)</f>
        <v>b</v>
      </c>
      <c r="M148" t="str">
        <f>")"&amp;REPT(" ",2-K149)&amp;IF(K149=0," ","")</f>
        <v xml:space="preserve">)   </v>
      </c>
      <c r="O148" s="182"/>
      <c r="P148" s="207">
        <f>D148</f>
        <v>0</v>
      </c>
      <c r="Q148" s="207">
        <f>E148</f>
        <v>0</v>
      </c>
      <c r="R148" s="300" t="str">
        <f ca="1">G148</f>
        <v/>
      </c>
      <c r="S148" s="304"/>
      <c r="T148" s="144"/>
      <c r="U148" s="206">
        <f ca="1">IF(OR(AC$8=0,SUM(Z149:AC149)=0),1,IF(L148="l","",SUM(AB149:AC149)))</f>
        <v>1</v>
      </c>
      <c r="V148" s="385"/>
      <c r="W148" s="50"/>
    </row>
    <row r="149" spans="3:29" ht="15" customHeight="1" x14ac:dyDescent="0.15">
      <c r="C149" s="186"/>
      <c r="D149" s="205"/>
      <c r="E149" s="188"/>
      <c r="F149" s="226"/>
      <c r="G149" s="296" t="str">
        <f ca="1">IF(L149="b","",IF(L149="l",0,FIXED(F149,K149,0)&amp;M149))</f>
        <v/>
      </c>
      <c r="H149" s="187"/>
      <c r="I149" s="189"/>
      <c r="K149" s="215"/>
      <c r="L149" t="str">
        <f ca="1">CELL("type",F149)</f>
        <v>b</v>
      </c>
      <c r="M149" t="str">
        <f>REPT(" ",3-K149)&amp;IF(K149=0," ","")</f>
        <v xml:space="preserve">    </v>
      </c>
      <c r="O149" s="182"/>
      <c r="P149" s="208">
        <f>IF(ISNUMBER(D149),LOOKUP(D149,$AB$5:$AC$7),D149)</f>
        <v>0</v>
      </c>
      <c r="Q149" s="208">
        <f>E149</f>
        <v>0</v>
      </c>
      <c r="R149" s="301" t="str">
        <f ca="1">G149</f>
        <v/>
      </c>
      <c r="S149" s="305">
        <f>H149</f>
        <v>0</v>
      </c>
      <c r="T149" s="145"/>
      <c r="U149" s="216">
        <f ca="1">IF(L149="l","",IF(D149+F149&gt;0,SUM(Z149:AA149),-1))</f>
        <v>-1</v>
      </c>
      <c r="V149" s="386"/>
      <c r="W149" s="107"/>
      <c r="Z149" s="114">
        <f>IF(D149&gt;0,0,TRUNC(F149*T149+Y149*X149))</f>
        <v>0</v>
      </c>
      <c r="AA149" t="b">
        <f>IF($D149=1,SUM(Z$13:Z147)-SUM(AA$13:AA147),IF($D149=2,$AA$6,IF($D149=3,TRUNC($AA$6,-3))))</f>
        <v>0</v>
      </c>
      <c r="AB149">
        <f ca="1">IF(OR(AC$8=0,L148="l",D149&gt;0,U149=-1),0,IF(L148="b",-U149,TRUNC(F148*T149)))</f>
        <v>0</v>
      </c>
      <c r="AC149" t="b">
        <f>IF($D149=1,SUM(AB$13:AB147)-SUM(AC$13:AC147),IF($D149=2,$AA$5,IF($D149=3,TRUNC($AA$5,-3))))</f>
        <v>0</v>
      </c>
    </row>
    <row r="150" spans="3:29" ht="15" customHeight="1" x14ac:dyDescent="0.15">
      <c r="C150" s="182"/>
      <c r="D150" s="210"/>
      <c r="E150" s="184"/>
      <c r="F150" s="227"/>
      <c r="G150" s="297" t="str">
        <f ca="1">IF(OR(AC$8=0,L150="b"),"",IF(L150="l",0,"("&amp;FIXED(-F150,K151,0)&amp;M150))</f>
        <v/>
      </c>
      <c r="H150" s="183"/>
      <c r="I150" s="185"/>
      <c r="L150" t="str">
        <f t="shared" ref="L150:L163" ca="1" si="24">CELL("type",F150)</f>
        <v>b</v>
      </c>
      <c r="M150" t="str">
        <f>")"&amp;REPT(" ",2-K151)&amp;IF(K151=0," ","")</f>
        <v xml:space="preserve">)   </v>
      </c>
      <c r="O150" s="194"/>
      <c r="P150" s="207">
        <f>D150</f>
        <v>0</v>
      </c>
      <c r="Q150" s="207">
        <f t="shared" ref="Q150:Q163" si="25">E150</f>
        <v>0</v>
      </c>
      <c r="R150" s="300" t="str">
        <f t="shared" ref="R150:R163" ca="1" si="26">G150</f>
        <v/>
      </c>
      <c r="S150" s="304"/>
      <c r="T150" s="369"/>
      <c r="U150" s="206">
        <f ca="1">IF(OR(AC$8=0,SUM(Z151:AC151)=0),1,IF(L150="l","",SUM(AB151:AC151)))</f>
        <v>1</v>
      </c>
      <c r="V150" s="387"/>
      <c r="W150" s="50"/>
    </row>
    <row r="151" spans="3:29" ht="15" customHeight="1" x14ac:dyDescent="0.15">
      <c r="C151" s="186"/>
      <c r="D151" s="205"/>
      <c r="E151" s="188"/>
      <c r="F151" s="226"/>
      <c r="G151" s="296" t="str">
        <f ca="1">IF(L151="b","",IF(L151="l",0,FIXED(F151,K151,0)&amp;M151))</f>
        <v/>
      </c>
      <c r="H151" s="187"/>
      <c r="I151" s="189"/>
      <c r="K151" s="215"/>
      <c r="L151" t="str">
        <f t="shared" ca="1" si="24"/>
        <v>b</v>
      </c>
      <c r="M151" t="str">
        <f>REPT(" ",3-K151)&amp;IF(K151=0," ","")</f>
        <v xml:space="preserve">    </v>
      </c>
      <c r="O151" s="194"/>
      <c r="P151" s="208">
        <f>IF(ISNUMBER(D151),LOOKUP(D151,$AB$5:$AC$7),D151)</f>
        <v>0</v>
      </c>
      <c r="Q151" s="208">
        <f t="shared" si="25"/>
        <v>0</v>
      </c>
      <c r="R151" s="301" t="str">
        <f t="shared" ca="1" si="26"/>
        <v/>
      </c>
      <c r="S151" s="305">
        <f>H151</f>
        <v>0</v>
      </c>
      <c r="T151" s="370"/>
      <c r="U151" s="216">
        <f ca="1">IF(L151="l","",IF(D151+F151&gt;0,SUM(Z151:AA151),-1))</f>
        <v>-1</v>
      </c>
      <c r="V151" s="454"/>
      <c r="W151" s="107"/>
      <c r="Z151" s="114">
        <f>IF(D151&gt;0,0,TRUNC(F151*T151+Y151*X151))</f>
        <v>0</v>
      </c>
      <c r="AA151" t="b">
        <f>IF($D151=1,SUM(Z$13:Z149)-SUM(AA$13:AA149),IF($D151=2,$AA$6,IF($D151=3,TRUNC($AA$6,-3))))</f>
        <v>0</v>
      </c>
      <c r="AB151">
        <f ca="1">IF(OR(AC$8=0,L150="l",D151&gt;0,U151=-1),0,IF(L150="b",-U151,TRUNC(F150*T151)))</f>
        <v>0</v>
      </c>
      <c r="AC151" t="b">
        <f>IF($D151=1,SUM(AB$13:AB149)-SUM(AC$13:AC149),IF($D151=2,$AA$5,IF($D151=3,TRUNC($AA$5,-3))))</f>
        <v>0</v>
      </c>
    </row>
    <row r="152" spans="3:29" ht="15" customHeight="1" x14ac:dyDescent="0.15">
      <c r="C152" s="182"/>
      <c r="D152" s="210"/>
      <c r="E152" s="184"/>
      <c r="F152" s="227"/>
      <c r="G152" s="297" t="str">
        <f ca="1">IF(OR(AC$8=0,L152="b"),"",IF(L152="l",0,"("&amp;FIXED(-F152,K153,0)&amp;M152))</f>
        <v/>
      </c>
      <c r="H152" s="183"/>
      <c r="I152" s="185"/>
      <c r="L152" t="str">
        <f t="shared" ca="1" si="24"/>
        <v>b</v>
      </c>
      <c r="M152" t="str">
        <f>")"&amp;REPT(" ",2-K153)&amp;IF(K153=0," ","")</f>
        <v xml:space="preserve">)   </v>
      </c>
      <c r="O152" s="194"/>
      <c r="P152" s="207">
        <f>D152</f>
        <v>0</v>
      </c>
      <c r="Q152" s="207">
        <f t="shared" si="25"/>
        <v>0</v>
      </c>
      <c r="R152" s="300" t="str">
        <f t="shared" ca="1" si="26"/>
        <v/>
      </c>
      <c r="S152" s="304"/>
      <c r="T152" s="369"/>
      <c r="U152" s="206">
        <f ca="1">IF(OR(AC$8=0,SUM(Z153:AC153)=0),1,IF(L152="l","",SUM(AB153:AC153)))</f>
        <v>1</v>
      </c>
      <c r="V152" s="387"/>
      <c r="W152" s="50"/>
    </row>
    <row r="153" spans="3:29" ht="15" customHeight="1" x14ac:dyDescent="0.15">
      <c r="C153" s="186"/>
      <c r="D153" s="205"/>
      <c r="E153" s="188"/>
      <c r="F153" s="226"/>
      <c r="G153" s="296" t="str">
        <f ca="1">IF(L153="b","",IF(L153="l",0,FIXED(F153,K153,0)&amp;M153))</f>
        <v/>
      </c>
      <c r="H153" s="187"/>
      <c r="I153" s="189"/>
      <c r="K153" s="215"/>
      <c r="L153" t="str">
        <f t="shared" ca="1" si="24"/>
        <v>b</v>
      </c>
      <c r="M153" t="str">
        <f>REPT(" ",3-K153)&amp;IF(K153=0," ","")</f>
        <v xml:space="preserve">    </v>
      </c>
      <c r="O153" s="194"/>
      <c r="P153" s="208">
        <f>IF(ISNUMBER(D153),LOOKUP(D153,$AB$5:$AC$7),D153)</f>
        <v>0</v>
      </c>
      <c r="Q153" s="208">
        <f t="shared" si="25"/>
        <v>0</v>
      </c>
      <c r="R153" s="301" t="str">
        <f t="shared" ca="1" si="26"/>
        <v/>
      </c>
      <c r="S153" s="305">
        <f>H153</f>
        <v>0</v>
      </c>
      <c r="T153" s="370"/>
      <c r="U153" s="216">
        <f ca="1">IF(L153="l","",IF(D153+F153&gt;0,SUM(Z153:AA153),-1))</f>
        <v>-1</v>
      </c>
      <c r="V153" s="454"/>
      <c r="W153" s="107"/>
      <c r="Z153" s="114">
        <f>IF(D153&gt;0,0,TRUNC(F153*T153+Y153*X153))</f>
        <v>0</v>
      </c>
      <c r="AA153" t="b">
        <f>IF($D153=1,SUM(Z$13:Z151)-SUM(AA$13:AA151),IF($D153=2,$AA$6,IF($D153=3,TRUNC($AA$6,-3))))</f>
        <v>0</v>
      </c>
      <c r="AB153">
        <f ca="1">IF(OR(AC$8=0,L152="l",D153&gt;0,U153=-1),0,IF(L152="b",-U153,TRUNC(F152*T153)))</f>
        <v>0</v>
      </c>
      <c r="AC153" t="b">
        <f>IF($D153=1,SUM(AB$13:AB151)-SUM(AC$13:AC151),IF($D153=2,$AA$5,IF($D153=3,TRUNC($AA$5,-3))))</f>
        <v>0</v>
      </c>
    </row>
    <row r="154" spans="3:29" ht="15" customHeight="1" x14ac:dyDescent="0.15">
      <c r="C154" s="182"/>
      <c r="D154" s="210"/>
      <c r="E154" s="184"/>
      <c r="F154" s="227"/>
      <c r="G154" s="297" t="str">
        <f ca="1">IF(OR(AC$8=0,L154="b"),"",IF(L154="l",0,"("&amp;FIXED(-F154,K155,0)&amp;M154))</f>
        <v/>
      </c>
      <c r="H154" s="183"/>
      <c r="I154" s="185"/>
      <c r="L154" t="str">
        <f t="shared" ca="1" si="24"/>
        <v>b</v>
      </c>
      <c r="M154" t="str">
        <f>")"&amp;REPT(" ",2-K155)&amp;IF(K155=0," ","")</f>
        <v xml:space="preserve">)   </v>
      </c>
      <c r="O154" s="194"/>
      <c r="P154" s="207">
        <f>D154</f>
        <v>0</v>
      </c>
      <c r="Q154" s="207">
        <f t="shared" si="25"/>
        <v>0</v>
      </c>
      <c r="R154" s="300" t="str">
        <f t="shared" ca="1" si="26"/>
        <v/>
      </c>
      <c r="S154" s="304"/>
      <c r="T154" s="369"/>
      <c r="U154" s="206">
        <f ca="1">IF(OR(AC$8=0,SUM(Z155:AC155)=0),1,IF(L154="l","",SUM(AB155:AC155)))</f>
        <v>1</v>
      </c>
      <c r="V154" s="387"/>
      <c r="W154" s="50"/>
    </row>
    <row r="155" spans="3:29" ht="15" customHeight="1" x14ac:dyDescent="0.15">
      <c r="C155" s="186"/>
      <c r="D155" s="205"/>
      <c r="E155" s="188"/>
      <c r="F155" s="226"/>
      <c r="G155" s="296" t="str">
        <f ca="1">IF(L155="b","",IF(L155="l",0,FIXED(F155,K155,0)&amp;M155))</f>
        <v/>
      </c>
      <c r="H155" s="187"/>
      <c r="I155" s="189"/>
      <c r="K155" s="215"/>
      <c r="L155" t="str">
        <f t="shared" ca="1" si="24"/>
        <v>b</v>
      </c>
      <c r="M155" t="str">
        <f>REPT(" ",3-K155)&amp;IF(K155=0," ","")</f>
        <v xml:space="preserve">    </v>
      </c>
      <c r="O155" s="194"/>
      <c r="P155" s="208">
        <f>IF(ISNUMBER(D155),LOOKUP(D155,$AB$5:$AC$7),D155)</f>
        <v>0</v>
      </c>
      <c r="Q155" s="208">
        <f t="shared" si="25"/>
        <v>0</v>
      </c>
      <c r="R155" s="301" t="str">
        <f t="shared" ca="1" si="26"/>
        <v/>
      </c>
      <c r="S155" s="305">
        <f>H155</f>
        <v>0</v>
      </c>
      <c r="T155" s="370"/>
      <c r="U155" s="216">
        <f ca="1">IF(L155="l","",IF(D155+F155&gt;0,SUM(Z155:AA155),-1))</f>
        <v>-1</v>
      </c>
      <c r="V155" s="454"/>
      <c r="W155" s="107"/>
      <c r="Z155" s="114">
        <f>IF(D155&gt;0,0,TRUNC(F155*T155+Y155*X155))</f>
        <v>0</v>
      </c>
      <c r="AA155" t="b">
        <f>IF($D155=1,SUM(Z$13:Z153)-SUM(AA$13:AA153),IF($D155=2,$AA$6,IF($D155=3,TRUNC($AA$6,-3))))</f>
        <v>0</v>
      </c>
      <c r="AB155">
        <f ca="1">IF(OR(AC$8=0,L154="l",D155&gt;0,U155=-1),0,IF(L154="b",-U155,TRUNC(F154*T155)))</f>
        <v>0</v>
      </c>
      <c r="AC155" t="b">
        <f>IF($D155=1,SUM(AB$13:AB153)-SUM(AC$13:AC153),IF($D155=2,$AA$5,IF($D155=3,TRUNC($AA$5,-3))))</f>
        <v>0</v>
      </c>
    </row>
    <row r="156" spans="3:29" ht="15" customHeight="1" x14ac:dyDescent="0.15">
      <c r="C156" s="182"/>
      <c r="D156" s="210"/>
      <c r="E156" s="184"/>
      <c r="F156" s="227"/>
      <c r="G156" s="297" t="str">
        <f ca="1">IF(OR(AC$8=0,L156="b"),"",IF(L156="l",0,"("&amp;FIXED(-F156,K157,0)&amp;M156))</f>
        <v/>
      </c>
      <c r="H156" s="183"/>
      <c r="I156" s="185"/>
      <c r="L156" t="str">
        <f t="shared" ca="1" si="24"/>
        <v>b</v>
      </c>
      <c r="M156" t="str">
        <f>")"&amp;REPT(" ",2-K157)&amp;IF(K157=0," ","")</f>
        <v xml:space="preserve">)   </v>
      </c>
      <c r="O156" s="194"/>
      <c r="P156" s="207">
        <f>D156</f>
        <v>0</v>
      </c>
      <c r="Q156" s="207">
        <f t="shared" si="25"/>
        <v>0</v>
      </c>
      <c r="R156" s="300" t="str">
        <f t="shared" ca="1" si="26"/>
        <v/>
      </c>
      <c r="S156" s="304"/>
      <c r="T156" s="369"/>
      <c r="U156" s="206">
        <f ca="1">IF(OR(AC$8=0,SUM(Z157:AC157)=0),1,IF(L156="l","",SUM(AB157:AC157)))</f>
        <v>1</v>
      </c>
      <c r="V156" s="387"/>
      <c r="W156" s="50"/>
    </row>
    <row r="157" spans="3:29" ht="15" customHeight="1" x14ac:dyDescent="0.15">
      <c r="C157" s="186"/>
      <c r="D157" s="205"/>
      <c r="E157" s="188"/>
      <c r="F157" s="226"/>
      <c r="G157" s="296" t="str">
        <f ca="1">IF(L157="b","",IF(L157="l",0,FIXED(F157,K157,0)&amp;M157))</f>
        <v/>
      </c>
      <c r="H157" s="187"/>
      <c r="I157" s="189"/>
      <c r="K157" s="215"/>
      <c r="L157" t="str">
        <f t="shared" ca="1" si="24"/>
        <v>b</v>
      </c>
      <c r="M157" t="str">
        <f>REPT(" ",3-K157)&amp;IF(K157=0," ","")</f>
        <v xml:space="preserve">    </v>
      </c>
      <c r="O157" s="194"/>
      <c r="P157" s="208">
        <f>IF(ISNUMBER(D157),LOOKUP(D157,$AB$5:$AC$7),D157)</f>
        <v>0</v>
      </c>
      <c r="Q157" s="208">
        <f t="shared" si="25"/>
        <v>0</v>
      </c>
      <c r="R157" s="301" t="str">
        <f t="shared" ca="1" si="26"/>
        <v/>
      </c>
      <c r="S157" s="305">
        <f>H157</f>
        <v>0</v>
      </c>
      <c r="T157" s="370"/>
      <c r="U157" s="216">
        <f ca="1">IF(L157="l","",IF(D157+F157&gt;0,SUM(Z157:AA157),-1))</f>
        <v>-1</v>
      </c>
      <c r="V157" s="454"/>
      <c r="W157" s="107"/>
      <c r="Z157" s="114">
        <f>IF(D157&gt;0,0,TRUNC(F157*T157+Y157*X157))</f>
        <v>0</v>
      </c>
      <c r="AA157" t="b">
        <f>IF($D157=1,SUM(Z$13:Z155)-SUM(AA$13:AA155),IF($D157=2,$AA$6,IF($D157=3,TRUNC($AA$6,-3))))</f>
        <v>0</v>
      </c>
      <c r="AB157">
        <f ca="1">IF(OR(AC$8=0,L156="l",D157&gt;0,U157=-1),0,IF(L156="b",-U157,TRUNC(F156*T157)))</f>
        <v>0</v>
      </c>
      <c r="AC157" t="b">
        <f>IF($D157=1,SUM(AB$13:AB155)-SUM(AC$13:AC155),IF($D157=2,$AA$5,IF($D157=3,TRUNC($AA$5,-3))))</f>
        <v>0</v>
      </c>
    </row>
    <row r="158" spans="3:29" ht="15" customHeight="1" x14ac:dyDescent="0.15">
      <c r="C158" s="182"/>
      <c r="D158" s="210"/>
      <c r="E158" s="184"/>
      <c r="F158" s="227"/>
      <c r="G158" s="297" t="str">
        <f ca="1">IF(OR(AC$8=0,L158="b"),"",IF(L158="l",0,"("&amp;FIXED(-F158,K159,0)&amp;M158))</f>
        <v/>
      </c>
      <c r="H158" s="183"/>
      <c r="I158" s="185"/>
      <c r="L158" t="str">
        <f t="shared" ca="1" si="24"/>
        <v>b</v>
      </c>
      <c r="M158" t="str">
        <f>")"&amp;REPT(" ",2-K159)&amp;IF(K159=0," ","")</f>
        <v xml:space="preserve">)   </v>
      </c>
      <c r="O158" s="194"/>
      <c r="P158" s="207">
        <f>D158</f>
        <v>0</v>
      </c>
      <c r="Q158" s="207">
        <f t="shared" si="25"/>
        <v>0</v>
      </c>
      <c r="R158" s="300" t="str">
        <f t="shared" ca="1" si="26"/>
        <v/>
      </c>
      <c r="S158" s="304"/>
      <c r="T158" s="369"/>
      <c r="U158" s="206">
        <f ca="1">IF(OR(AC$8=0,SUM(Z159:AC159)=0),1,IF(L158="l","",SUM(AB159:AC159)))</f>
        <v>1</v>
      </c>
      <c r="V158" s="387"/>
      <c r="W158" s="50"/>
    </row>
    <row r="159" spans="3:29" ht="15" customHeight="1" x14ac:dyDescent="0.15">
      <c r="C159" s="186"/>
      <c r="D159" s="205"/>
      <c r="E159" s="188"/>
      <c r="F159" s="226"/>
      <c r="G159" s="296" t="str">
        <f ca="1">IF(L159="b","",IF(L159="l",0,FIXED(F159,K159,0)&amp;M159))</f>
        <v/>
      </c>
      <c r="H159" s="187"/>
      <c r="I159" s="189"/>
      <c r="K159" s="215"/>
      <c r="L159" t="str">
        <f t="shared" ca="1" si="24"/>
        <v>b</v>
      </c>
      <c r="M159" t="str">
        <f>REPT(" ",3-K159)&amp;IF(K159=0," ","")</f>
        <v xml:space="preserve">    </v>
      </c>
      <c r="O159" s="194"/>
      <c r="P159" s="208">
        <f>IF(ISNUMBER(D159),LOOKUP(D159,$AB$5:$AC$7),D159)</f>
        <v>0</v>
      </c>
      <c r="Q159" s="208">
        <f t="shared" si="25"/>
        <v>0</v>
      </c>
      <c r="R159" s="301" t="str">
        <f t="shared" ca="1" si="26"/>
        <v/>
      </c>
      <c r="S159" s="305">
        <f>H159</f>
        <v>0</v>
      </c>
      <c r="T159" s="370"/>
      <c r="U159" s="216">
        <f ca="1">IF(L159="l","",IF(D159+F159&gt;0,SUM(Z159:AA159),-1))</f>
        <v>-1</v>
      </c>
      <c r="V159" s="388"/>
      <c r="W159" s="107"/>
      <c r="Z159" s="114">
        <f>IF(D159&gt;0,0,TRUNC(F159*T159+Y159*X159))</f>
        <v>0</v>
      </c>
      <c r="AA159" t="b">
        <f>IF($D159=1,SUM(Z$13:Z157)-SUM(AA$13:AA157),IF($D159=2,$AA$6,IF($D159=3,TRUNC($AA$6,-3))))</f>
        <v>0</v>
      </c>
      <c r="AB159">
        <f ca="1">IF(OR(AC$8=0,L158="l",D159&gt;0,U159=-1),0,IF(L158="b",-U159,TRUNC(F158*T159)))</f>
        <v>0</v>
      </c>
      <c r="AC159" t="b">
        <f>IF($D159=1,SUM(AB$13:AB157)-SUM(AC$13:AC157),IF($D159=2,$AA$5,IF($D159=3,TRUNC($AA$5,-3))))</f>
        <v>0</v>
      </c>
    </row>
    <row r="160" spans="3:29" ht="15" customHeight="1" x14ac:dyDescent="0.15">
      <c r="C160" s="182"/>
      <c r="D160" s="210"/>
      <c r="E160" s="184"/>
      <c r="F160" s="227"/>
      <c r="G160" s="297" t="str">
        <f ca="1">IF(OR(AC$8=0,L160="b"),"",IF(L160="l",0,"("&amp;FIXED(-F160,K161,0)&amp;M160))</f>
        <v/>
      </c>
      <c r="H160" s="183"/>
      <c r="I160" s="185"/>
      <c r="L160" t="str">
        <f t="shared" ca="1" si="24"/>
        <v>b</v>
      </c>
      <c r="M160" t="str">
        <f>")"&amp;REPT(" ",2-K161)&amp;IF(K161=0," ","")</f>
        <v xml:space="preserve">)   </v>
      </c>
      <c r="O160" s="194"/>
      <c r="P160" s="207">
        <f>D160</f>
        <v>0</v>
      </c>
      <c r="Q160" s="207">
        <f t="shared" si="25"/>
        <v>0</v>
      </c>
      <c r="R160" s="300" t="str">
        <f t="shared" ca="1" si="26"/>
        <v/>
      </c>
      <c r="S160" s="304"/>
      <c r="T160" s="369"/>
      <c r="U160" s="206">
        <f ca="1">IF(OR(AC$8=0,SUM(Z161:AC161)=0),1,IF(L160="l","",SUM(AB161:AC161)))</f>
        <v>1</v>
      </c>
      <c r="V160" s="387"/>
      <c r="W160" s="50"/>
    </row>
    <row r="161" spans="3:29" ht="15" customHeight="1" x14ac:dyDescent="0.15">
      <c r="C161" s="186"/>
      <c r="D161" s="205"/>
      <c r="E161" s="188"/>
      <c r="F161" s="226"/>
      <c r="G161" s="296" t="str">
        <f ca="1">IF(L161="b","",IF(L161="l",0,FIXED(F161,K161,0)&amp;M161))</f>
        <v/>
      </c>
      <c r="H161" s="187"/>
      <c r="I161" s="189"/>
      <c r="K161" s="215"/>
      <c r="L161" t="str">
        <f t="shared" ca="1" si="24"/>
        <v>b</v>
      </c>
      <c r="M161" t="str">
        <f>REPT(" ",3-K161)&amp;IF(K161=0," ","")</f>
        <v xml:space="preserve">    </v>
      </c>
      <c r="O161" s="194"/>
      <c r="P161" s="208">
        <f>IF(ISNUMBER(D161),LOOKUP(D161,$AB$5:$AC$7),D161)</f>
        <v>0</v>
      </c>
      <c r="Q161" s="208">
        <f t="shared" si="25"/>
        <v>0</v>
      </c>
      <c r="R161" s="301" t="str">
        <f t="shared" ca="1" si="26"/>
        <v/>
      </c>
      <c r="S161" s="305">
        <f>H161</f>
        <v>0</v>
      </c>
      <c r="T161" s="370"/>
      <c r="U161" s="216">
        <f ca="1">IF(L161="l","",IF(D161+F161&gt;0,SUM(Z161:AA161),-1))</f>
        <v>-1</v>
      </c>
      <c r="V161" s="388"/>
      <c r="W161" s="107"/>
      <c r="Z161" s="114">
        <f>IF(D161&gt;0,0,TRUNC(F161*T161+Y161*X161))</f>
        <v>0</v>
      </c>
      <c r="AA161" t="b">
        <f>IF($D161=1,SUM(Z$13:Z159)-SUM(AA$13:AA159),IF($D161=2,$AA$6,IF($D161=3,TRUNC($AA$6,-3))))</f>
        <v>0</v>
      </c>
      <c r="AB161">
        <f ca="1">IF(OR(AC$8=0,L160="l",D161&gt;0,U161=-1),0,IF(L160="b",-U161,TRUNC(F160*T161)))</f>
        <v>0</v>
      </c>
      <c r="AC161" t="b">
        <f>IF($D161=1,SUM(AB$13:AB159)-SUM(AC$13:AC159),IF($D161=2,$AA$5,IF($D161=3,TRUNC($AA$5,-3))))</f>
        <v>0</v>
      </c>
    </row>
    <row r="162" spans="3:29" ht="15" customHeight="1" x14ac:dyDescent="0.15">
      <c r="C162" s="182"/>
      <c r="D162" s="210"/>
      <c r="E162" s="184"/>
      <c r="F162" s="227"/>
      <c r="G162" s="297" t="str">
        <f ca="1">IF(OR(AC$8=0,L162="b"),"",IF(L162="l",0,"("&amp;FIXED(-F162,K163,0)&amp;M162))</f>
        <v/>
      </c>
      <c r="H162" s="183"/>
      <c r="I162" s="185"/>
      <c r="L162" t="str">
        <f t="shared" ca="1" si="24"/>
        <v>b</v>
      </c>
      <c r="M162" t="str">
        <f>")"&amp;REPT(" ",2-K163)&amp;IF(K163=0," ","")</f>
        <v xml:space="preserve">)   </v>
      </c>
      <c r="O162" s="194"/>
      <c r="P162" s="207">
        <f>D162</f>
        <v>0</v>
      </c>
      <c r="Q162" s="207">
        <f t="shared" si="25"/>
        <v>0</v>
      </c>
      <c r="R162" s="300" t="str">
        <f t="shared" ca="1" si="26"/>
        <v/>
      </c>
      <c r="S162" s="304"/>
      <c r="T162" s="369"/>
      <c r="U162" s="206">
        <f ca="1">IF(OR(AC$8=0,SUM(Z163:AC163)=0),1,IF(L162="l","",SUM(AB163:AC163)))</f>
        <v>1</v>
      </c>
      <c r="V162" s="387"/>
      <c r="W162" s="50"/>
    </row>
    <row r="163" spans="3:29" ht="15" customHeight="1" x14ac:dyDescent="0.15">
      <c r="C163" s="186"/>
      <c r="D163" s="205"/>
      <c r="E163" s="188"/>
      <c r="F163" s="226"/>
      <c r="G163" s="296" t="str">
        <f ca="1">IF(L163="b","",IF(L163="l",0,FIXED(F163,K163,0)&amp;M163))</f>
        <v/>
      </c>
      <c r="H163" s="187"/>
      <c r="I163" s="189"/>
      <c r="K163" s="215"/>
      <c r="L163" t="str">
        <f t="shared" ca="1" si="24"/>
        <v>b</v>
      </c>
      <c r="M163" t="str">
        <f>REPT(" ",3-K163)&amp;IF(K163=0," ","")</f>
        <v xml:space="preserve">    </v>
      </c>
      <c r="O163" s="194"/>
      <c r="P163" s="208">
        <f>IF(ISNUMBER(D163),LOOKUP(D163,$AB$5:$AC$7),D163)</f>
        <v>0</v>
      </c>
      <c r="Q163" s="208">
        <f t="shared" si="25"/>
        <v>0</v>
      </c>
      <c r="R163" s="301" t="str">
        <f t="shared" ca="1" si="26"/>
        <v/>
      </c>
      <c r="S163" s="305">
        <f>H163</f>
        <v>0</v>
      </c>
      <c r="T163" s="370"/>
      <c r="U163" s="216">
        <f ca="1">IF(L163="l","",IF(D163+F163&gt;0,SUM(Z163:AA163),-1))</f>
        <v>-1</v>
      </c>
      <c r="V163" s="388"/>
      <c r="W163" s="107"/>
      <c r="Z163" s="114">
        <f>IF(D163&gt;0,0,TRUNC(F163*T163+Y163*X163))</f>
        <v>0</v>
      </c>
      <c r="AA163" t="b">
        <f>IF($D163=1,SUM(Z$13:Z161)-SUM(AA$13:AA161),IF($D163=2,$AA$6,IF($D163=3,TRUNC($AA$6,-3))))</f>
        <v>0</v>
      </c>
      <c r="AB163">
        <f ca="1">IF(OR(AC$8=0,L162="l",D163&gt;0,U163=-1),0,IF(L162="b",-U163,TRUNC(F162*T163)))</f>
        <v>0</v>
      </c>
      <c r="AC163" t="b">
        <f>IF($D163=1,SUM(AB$13:AB161)-SUM(AC$13:AC161),IF($D163=2,$AA$5,IF($D163=3,TRUNC($AA$5,-3))))</f>
        <v>0</v>
      </c>
    </row>
    <row r="164" spans="3:29" ht="15" customHeight="1" x14ac:dyDescent="0.15">
      <c r="C164" s="182"/>
      <c r="D164" s="210"/>
      <c r="E164" s="184"/>
      <c r="F164" s="227"/>
      <c r="G164" s="297" t="str">
        <f ca="1">IF(OR(AC$8=0,L164="b"),"",IF(L164="l",0,"("&amp;FIXED(-F164,K165,0)&amp;M164))</f>
        <v/>
      </c>
      <c r="H164" s="183"/>
      <c r="I164" s="185"/>
      <c r="L164" t="str">
        <f ca="1">CELL("type",F164)</f>
        <v>b</v>
      </c>
      <c r="M164" t="str">
        <f>")"&amp;REPT(" ",2-K165)&amp;IF(K165=0," ","")</f>
        <v xml:space="preserve">)   </v>
      </c>
      <c r="O164" s="194"/>
      <c r="P164" s="207">
        <f>D164</f>
        <v>0</v>
      </c>
      <c r="Q164" s="207">
        <f>E164</f>
        <v>0</v>
      </c>
      <c r="R164" s="300" t="str">
        <f ca="1">G164</f>
        <v/>
      </c>
      <c r="S164" s="304"/>
      <c r="T164" s="369"/>
      <c r="U164" s="206">
        <f ca="1">IF(OR(AC$8=0,SUM(Z165:AC165)=0),1,IF(L164="l","",SUM(AB165:AC165)))</f>
        <v>1</v>
      </c>
      <c r="V164" s="387"/>
      <c r="W164" s="50"/>
    </row>
    <row r="165" spans="3:29" ht="15" customHeight="1" x14ac:dyDescent="0.15">
      <c r="C165" s="186"/>
      <c r="D165" s="205"/>
      <c r="E165" s="188"/>
      <c r="F165" s="226"/>
      <c r="G165" s="296" t="str">
        <f ca="1">IF(L165="b","",IF(L165="l",0,FIXED(F165,K165,0)&amp;M165))</f>
        <v/>
      </c>
      <c r="H165" s="187"/>
      <c r="I165" s="189"/>
      <c r="K165" s="215"/>
      <c r="L165" t="str">
        <f ca="1">CELL("type",F165)</f>
        <v>b</v>
      </c>
      <c r="M165" t="str">
        <f>REPT(" ",3-K165)&amp;IF(K165=0," ","")</f>
        <v xml:space="preserve">    </v>
      </c>
      <c r="O165" s="194"/>
      <c r="P165" s="208">
        <f>IF(ISNUMBER(D165),LOOKUP(D165,$AB$5:$AC$7),D165)</f>
        <v>0</v>
      </c>
      <c r="Q165" s="208">
        <f>E165</f>
        <v>0</v>
      </c>
      <c r="R165" s="301" t="str">
        <f ca="1">G165</f>
        <v/>
      </c>
      <c r="S165" s="305">
        <f>H165</f>
        <v>0</v>
      </c>
      <c r="T165" s="370"/>
      <c r="U165" s="216">
        <f ca="1">IF(L165="l","",IF(D165+F165&gt;0,SUM(Z165:AA165),-1))</f>
        <v>-1</v>
      </c>
      <c r="V165" s="454"/>
      <c r="W165" s="107"/>
      <c r="Z165" s="114">
        <f>IF(D165&gt;0,0,TRUNC(F165*T165+Y165*X165))</f>
        <v>0</v>
      </c>
      <c r="AA165" t="b">
        <f>IF($D165=1,SUM(Z$13:Z163)-SUM(AA$13:AA163),IF($D165=2,$AA$6,IF($D165=3,TRUNC($AA$6,-3))))</f>
        <v>0</v>
      </c>
      <c r="AB165">
        <f ca="1">IF(OR(AC$8=0,L164="l",D165&gt;0,U165=-1),0,IF(L164="b",-U165,TRUNC(F164*T165)))</f>
        <v>0</v>
      </c>
      <c r="AC165" t="b">
        <f>IF($D165=1,SUM(AB$13:AB163)-SUM(AC$13:AC163),IF($D165=2,$AA$5,IF($D165=3,TRUNC($AA$5,-3))))</f>
        <v>0</v>
      </c>
    </row>
    <row r="166" spans="3:29" ht="15" customHeight="1" x14ac:dyDescent="0.15">
      <c r="C166" s="182"/>
      <c r="D166" s="210"/>
      <c r="E166" s="184"/>
      <c r="F166" s="227"/>
      <c r="G166" s="297" t="str">
        <f ca="1">IF(OR(AC$8=0,L166="b"),"",IF(L166="l",0,"("&amp;FIXED(-F166,K167,0)&amp;M166))</f>
        <v/>
      </c>
      <c r="H166" s="183"/>
      <c r="I166" s="185"/>
      <c r="L166" t="str">
        <f t="shared" ref="L166:L181" ca="1" si="27">CELL("type",F166)</f>
        <v>b</v>
      </c>
      <c r="M166" t="str">
        <f>")"&amp;REPT(" ",2-K167)&amp;IF(K167=0," ","")</f>
        <v xml:space="preserve">)   </v>
      </c>
      <c r="O166" s="194"/>
      <c r="P166" s="207">
        <f>D166</f>
        <v>0</v>
      </c>
      <c r="Q166" s="207">
        <f t="shared" ref="Q166:Q181" si="28">E166</f>
        <v>0</v>
      </c>
      <c r="R166" s="300" t="str">
        <f t="shared" ref="R166:R181" ca="1" si="29">G166</f>
        <v/>
      </c>
      <c r="S166" s="304"/>
      <c r="T166" s="144"/>
      <c r="U166" s="206">
        <f ca="1">IF(OR(AC$8=0,SUM(Z167:AC167)=0),1,IF(L166="l","",SUM(AB167:AC167)))</f>
        <v>1</v>
      </c>
      <c r="V166" s="387"/>
      <c r="W166" s="50"/>
    </row>
    <row r="167" spans="3:29" ht="15" customHeight="1" x14ac:dyDescent="0.15">
      <c r="C167" s="186"/>
      <c r="D167" s="205"/>
      <c r="E167" s="188"/>
      <c r="F167" s="226"/>
      <c r="G167" s="296" t="str">
        <f ca="1">IF(L167="b","",IF(L167="l",0,FIXED(F167,K167,0)&amp;M167))</f>
        <v/>
      </c>
      <c r="H167" s="187"/>
      <c r="I167" s="189"/>
      <c r="K167" s="215"/>
      <c r="L167" t="str">
        <f t="shared" ca="1" si="27"/>
        <v>b</v>
      </c>
      <c r="M167" t="str">
        <f>REPT(" ",3-K167)&amp;IF(K167=0," ","")</f>
        <v xml:space="preserve">    </v>
      </c>
      <c r="O167" s="194"/>
      <c r="P167" s="208">
        <f>IF(ISNUMBER(D167),LOOKUP(D167,$AB$5:$AC$7),D167)</f>
        <v>0</v>
      </c>
      <c r="Q167" s="208">
        <f t="shared" si="28"/>
        <v>0</v>
      </c>
      <c r="R167" s="301" t="str">
        <f t="shared" ca="1" si="29"/>
        <v/>
      </c>
      <c r="S167" s="305">
        <f>H167</f>
        <v>0</v>
      </c>
      <c r="T167" s="145"/>
      <c r="U167" s="216">
        <f ca="1">IF(L167="l","",IF(D167+F167&gt;0,SUM(Z167:AA167),-1))</f>
        <v>-1</v>
      </c>
      <c r="V167" s="454"/>
      <c r="W167" s="107"/>
      <c r="Z167" s="114">
        <f>IF(D167&gt;0,0,TRUNC(F167*T167+Y167*X167))</f>
        <v>0</v>
      </c>
      <c r="AA167" t="b">
        <f>IF($D167=1,SUM(Z$13:Z165)-SUM(AA$13:AA165),IF($D167=2,$AA$6,IF($D167=3,TRUNC($AA$6,-3))))</f>
        <v>0</v>
      </c>
      <c r="AB167">
        <f ca="1">IF(OR(AC$8=0,L166="l",D167&gt;0,U167=-1),0,IF(L166="b",-U167,TRUNC(F166*T167)))</f>
        <v>0</v>
      </c>
      <c r="AC167" t="b">
        <f>IF($D167=1,SUM(AB$13:AB165)-SUM(AC$13:AC165),IF($D167=2,$AA$5,IF($D167=3,TRUNC($AA$5,-3))))</f>
        <v>0</v>
      </c>
    </row>
    <row r="168" spans="3:29" ht="15" customHeight="1" x14ac:dyDescent="0.15">
      <c r="C168" s="182"/>
      <c r="D168" s="210"/>
      <c r="E168" s="184"/>
      <c r="F168" s="227"/>
      <c r="G168" s="297" t="str">
        <f ca="1">IF(OR(AC$8=0,L168="b"),"",IF(L168="l",0,"("&amp;FIXED(-F168,K169,0)&amp;M168))</f>
        <v/>
      </c>
      <c r="H168" s="183"/>
      <c r="I168" s="185"/>
      <c r="L168" t="str">
        <f t="shared" ca="1" si="27"/>
        <v>b</v>
      </c>
      <c r="M168" t="str">
        <f>")"&amp;REPT(" ",2-K169)&amp;IF(K169=0," ","")</f>
        <v xml:space="preserve">)   </v>
      </c>
      <c r="O168" s="194"/>
      <c r="P168" s="207">
        <f>D168</f>
        <v>0</v>
      </c>
      <c r="Q168" s="207">
        <f t="shared" si="28"/>
        <v>0</v>
      </c>
      <c r="R168" s="300" t="str">
        <f t="shared" ca="1" si="29"/>
        <v/>
      </c>
      <c r="S168" s="304"/>
      <c r="T168" s="144"/>
      <c r="U168" s="206">
        <f ca="1">IF(OR(AC$8=0,SUM(Z169:AC169)=0),1,IF(L168="l","",SUM(AB169:AC169)))</f>
        <v>1</v>
      </c>
      <c r="V168" s="385"/>
      <c r="W168" s="50"/>
    </row>
    <row r="169" spans="3:29" ht="15" customHeight="1" x14ac:dyDescent="0.15">
      <c r="C169" s="186"/>
      <c r="D169" s="205"/>
      <c r="E169" s="188"/>
      <c r="F169" s="226"/>
      <c r="G169" s="296" t="str">
        <f ca="1">IF(L169="b","",IF(L169="l",0,FIXED(F169,K169,0)&amp;M169))</f>
        <v/>
      </c>
      <c r="H169" s="187"/>
      <c r="I169" s="189"/>
      <c r="K169" s="215"/>
      <c r="L169" t="str">
        <f t="shared" ca="1" si="27"/>
        <v>b</v>
      </c>
      <c r="M169" t="str">
        <f>REPT(" ",3-K169)&amp;IF(K169=0," ","")</f>
        <v xml:space="preserve">    </v>
      </c>
      <c r="O169" s="194"/>
      <c r="P169" s="208">
        <f>IF(ISNUMBER(D169),LOOKUP(D169,$AB$5:$AC$7),D169)</f>
        <v>0</v>
      </c>
      <c r="Q169" s="208">
        <f t="shared" si="28"/>
        <v>0</v>
      </c>
      <c r="R169" s="301" t="str">
        <f t="shared" ca="1" si="29"/>
        <v/>
      </c>
      <c r="S169" s="305">
        <f>H169</f>
        <v>0</v>
      </c>
      <c r="T169" s="145"/>
      <c r="U169" s="216">
        <f ca="1">IF(L169="l","",IF(D169+F169&gt;0,SUM(Z169:AA169),-1))</f>
        <v>-1</v>
      </c>
      <c r="V169" s="386"/>
      <c r="W169" s="107"/>
      <c r="Z169" s="114">
        <f>IF(D169&gt;0,0,TRUNC(F169*T169+Y169*X169))</f>
        <v>0</v>
      </c>
      <c r="AA169" t="b">
        <f>IF($D169=1,SUM(Z$13:Z167)-SUM(AA$13:AA167),IF($D169=2,$AA$6,IF($D169=3,TRUNC($AA$6,-3))))</f>
        <v>0</v>
      </c>
      <c r="AB169">
        <f ca="1">IF(OR(AC$8=0,L168="l",D169&gt;0,U169=-1),0,IF(L168="b",-U169,TRUNC(F168*T169)))</f>
        <v>0</v>
      </c>
      <c r="AC169" t="b">
        <f>IF($D169=1,SUM(AB$13:AB167)-SUM(AC$13:AC167),IF($D169=2,$AA$5,IF($D169=3,TRUNC($AA$5,-3))))</f>
        <v>0</v>
      </c>
    </row>
    <row r="170" spans="3:29" ht="15" customHeight="1" x14ac:dyDescent="0.15">
      <c r="C170" s="182"/>
      <c r="D170" s="210"/>
      <c r="E170" s="184"/>
      <c r="F170" s="227"/>
      <c r="G170" s="297" t="str">
        <f ca="1">IF(OR(AC$8=0,L170="b"),"",IF(L170="l",0,"("&amp;FIXED(-F170,K171,0)&amp;M170))</f>
        <v/>
      </c>
      <c r="H170" s="183"/>
      <c r="I170" s="185"/>
      <c r="L170" t="str">
        <f t="shared" ca="1" si="27"/>
        <v>b</v>
      </c>
      <c r="M170" t="str">
        <f>")"&amp;REPT(" ",2-K171)&amp;IF(K171=0," ","")</f>
        <v xml:space="preserve">)   </v>
      </c>
      <c r="O170" s="194"/>
      <c r="P170" s="207">
        <f>D170</f>
        <v>0</v>
      </c>
      <c r="Q170" s="207">
        <f t="shared" si="28"/>
        <v>0</v>
      </c>
      <c r="R170" s="300" t="str">
        <f t="shared" ca="1" si="29"/>
        <v/>
      </c>
      <c r="S170" s="304"/>
      <c r="T170" s="144"/>
      <c r="U170" s="206">
        <f ca="1">IF(OR(AC$8=0,SUM(Z171:AC171)=0),1,IF(L170="l","",SUM(AB171:AC171)))</f>
        <v>1</v>
      </c>
      <c r="V170" s="385"/>
      <c r="W170" s="50"/>
    </row>
    <row r="171" spans="3:29" ht="15" customHeight="1" x14ac:dyDescent="0.15">
      <c r="C171" s="186"/>
      <c r="D171" s="205"/>
      <c r="E171" s="188"/>
      <c r="F171" s="226"/>
      <c r="G171" s="296" t="str">
        <f ca="1">IF(L171="b","",IF(L171="l",0,FIXED(F171,K171,0)&amp;M171))</f>
        <v/>
      </c>
      <c r="H171" s="187"/>
      <c r="I171" s="189"/>
      <c r="K171" s="215"/>
      <c r="L171" t="str">
        <f t="shared" ca="1" si="27"/>
        <v>b</v>
      </c>
      <c r="M171" t="str">
        <f>REPT(" ",3-K171)&amp;IF(K171=0," ","")</f>
        <v xml:space="preserve">    </v>
      </c>
      <c r="O171" s="194"/>
      <c r="P171" s="208">
        <f>IF(ISNUMBER(D171),LOOKUP(D171,$AB$5:$AC$7),D171)</f>
        <v>0</v>
      </c>
      <c r="Q171" s="208">
        <f t="shared" si="28"/>
        <v>0</v>
      </c>
      <c r="R171" s="301" t="str">
        <f t="shared" ca="1" si="29"/>
        <v/>
      </c>
      <c r="S171" s="305">
        <f>H171</f>
        <v>0</v>
      </c>
      <c r="T171" s="145"/>
      <c r="U171" s="216">
        <f ca="1">IF(L171="l","",IF(D171+F171&gt;0,SUM(Z171:AA171),-1))</f>
        <v>-1</v>
      </c>
      <c r="V171" s="386"/>
      <c r="W171" s="107"/>
      <c r="Z171" s="114">
        <f>IF(D171&gt;0,0,TRUNC(F171*T171+Y171*X171))</f>
        <v>0</v>
      </c>
      <c r="AA171" t="b">
        <f>IF($D171=1,SUM(Z$13:Z169)-SUM(AA$13:AA169),IF($D171=2,$AA$6,IF($D171=3,TRUNC($AA$6,-3))))</f>
        <v>0</v>
      </c>
      <c r="AB171">
        <f ca="1">IF(OR(AC$8=0,L170="l",D171&gt;0,U171=-1),0,IF(L170="b",-U171,TRUNC(F170*T171)))</f>
        <v>0</v>
      </c>
      <c r="AC171" t="b">
        <f>IF($D171=1,SUM(AB$13:AB169)-SUM(AC$13:AC169),IF($D171=2,$AA$5,IF($D171=3,TRUNC($AA$5,-3))))</f>
        <v>0</v>
      </c>
    </row>
    <row r="172" spans="3:29" ht="15" customHeight="1" x14ac:dyDescent="0.15">
      <c r="C172" s="182"/>
      <c r="D172" s="210"/>
      <c r="E172" s="184"/>
      <c r="F172" s="227"/>
      <c r="G172" s="297" t="str">
        <f ca="1">IF(OR(AC$8=0,L172="b"),"",IF(L172="l",0,"("&amp;FIXED(-F172,K173,0)&amp;M172))</f>
        <v/>
      </c>
      <c r="H172" s="183"/>
      <c r="I172" s="185"/>
      <c r="L172" t="str">
        <f t="shared" ca="1" si="27"/>
        <v>b</v>
      </c>
      <c r="M172" t="str">
        <f>")"&amp;REPT(" ",2-K173)&amp;IF(K173=0," ","")</f>
        <v xml:space="preserve">)   </v>
      </c>
      <c r="O172" s="194"/>
      <c r="P172" s="207">
        <f>D172</f>
        <v>0</v>
      </c>
      <c r="Q172" s="207">
        <f t="shared" si="28"/>
        <v>0</v>
      </c>
      <c r="R172" s="300" t="str">
        <f t="shared" ca="1" si="29"/>
        <v/>
      </c>
      <c r="S172" s="304"/>
      <c r="T172" s="144"/>
      <c r="U172" s="206">
        <f ca="1">IF(OR(AC$8=0,SUM(Z173:AC173)=0),1,IF(L172="l","",SUM(AB173:AC173)))</f>
        <v>1</v>
      </c>
      <c r="V172" s="385"/>
      <c r="W172" s="50"/>
    </row>
    <row r="173" spans="3:29" ht="15" customHeight="1" x14ac:dyDescent="0.15">
      <c r="C173" s="186"/>
      <c r="D173" s="205"/>
      <c r="E173" s="188"/>
      <c r="F173" s="226"/>
      <c r="G173" s="296" t="str">
        <f ca="1">IF(L173="b","",IF(L173="l",0,FIXED(F173,K173,0)&amp;M173))</f>
        <v/>
      </c>
      <c r="H173" s="187"/>
      <c r="I173" s="189"/>
      <c r="K173" s="215"/>
      <c r="L173" t="str">
        <f t="shared" ca="1" si="27"/>
        <v>b</v>
      </c>
      <c r="M173" t="str">
        <f>REPT(" ",3-K173)&amp;IF(K173=0," ","")</f>
        <v xml:space="preserve">    </v>
      </c>
      <c r="O173" s="194"/>
      <c r="P173" s="208">
        <f>IF(ISNUMBER(D173),LOOKUP(D173,$AB$5:$AC$7),D173)</f>
        <v>0</v>
      </c>
      <c r="Q173" s="208">
        <f t="shared" si="28"/>
        <v>0</v>
      </c>
      <c r="R173" s="301" t="str">
        <f t="shared" ca="1" si="29"/>
        <v/>
      </c>
      <c r="S173" s="305">
        <f>H173</f>
        <v>0</v>
      </c>
      <c r="T173" s="145"/>
      <c r="U173" s="216">
        <f ca="1">IF(L173="l","",IF(D173+F173&gt;0,SUM(Z173:AA173),-1))</f>
        <v>-1</v>
      </c>
      <c r="V173" s="386"/>
      <c r="W173" s="107"/>
      <c r="Z173" s="114">
        <f>IF(D173&gt;0,0,TRUNC(F173*T173+Y173*X173))</f>
        <v>0</v>
      </c>
      <c r="AA173" t="b">
        <f>IF($D173=1,SUM(Z$13:Z171)-SUM(AA$13:AA171),IF($D173=2,$AA$6,IF($D173=3,TRUNC($AA$6,-3))))</f>
        <v>0</v>
      </c>
      <c r="AB173">
        <f ca="1">IF(OR(AC$8=0,L172="l",D173&gt;0,U173=-1),0,IF(L172="b",-U173,TRUNC(F172*T173)))</f>
        <v>0</v>
      </c>
      <c r="AC173" t="b">
        <f>IF($D173=1,SUM(AB$13:AB171)-SUM(AC$13:AC171),IF($D173=2,$AA$5,IF($D173=3,TRUNC($AA$5,-3))))</f>
        <v>0</v>
      </c>
    </row>
    <row r="174" spans="3:29" ht="15" customHeight="1" x14ac:dyDescent="0.15">
      <c r="C174" s="182"/>
      <c r="D174" s="210"/>
      <c r="E174" s="184"/>
      <c r="F174" s="227"/>
      <c r="G174" s="297" t="str">
        <f ca="1">IF(OR(AC$8=0,L174="b"),"",IF(L174="l",0,"("&amp;FIXED(-F174,K175,0)&amp;M174))</f>
        <v/>
      </c>
      <c r="H174" s="183"/>
      <c r="I174" s="185"/>
      <c r="L174" t="str">
        <f t="shared" ca="1" si="27"/>
        <v>b</v>
      </c>
      <c r="M174" t="str">
        <f>")"&amp;REPT(" ",2-K175)&amp;IF(K175=0," ","")</f>
        <v xml:space="preserve">)   </v>
      </c>
      <c r="O174" s="194"/>
      <c r="P174" s="207">
        <f>D174</f>
        <v>0</v>
      </c>
      <c r="Q174" s="207">
        <f t="shared" si="28"/>
        <v>0</v>
      </c>
      <c r="R174" s="300" t="str">
        <f t="shared" ca="1" si="29"/>
        <v/>
      </c>
      <c r="S174" s="304"/>
      <c r="T174" s="144"/>
      <c r="U174" s="206">
        <f ca="1">IF(OR(AC$8=0,SUM(Z175:AC175)=0),1,IF(L174="l","",SUM(AB175:AC175)))</f>
        <v>1</v>
      </c>
      <c r="V174" s="385"/>
      <c r="W174" s="50"/>
    </row>
    <row r="175" spans="3:29" ht="15" customHeight="1" x14ac:dyDescent="0.15">
      <c r="C175" s="186"/>
      <c r="D175" s="205"/>
      <c r="E175" s="188"/>
      <c r="F175" s="226"/>
      <c r="G175" s="296" t="str">
        <f ca="1">IF(L175="b","",IF(L175="l",0,FIXED(F175,K175,0)&amp;M175))</f>
        <v/>
      </c>
      <c r="H175" s="187"/>
      <c r="I175" s="189"/>
      <c r="K175" s="215"/>
      <c r="L175" t="str">
        <f t="shared" ca="1" si="27"/>
        <v>b</v>
      </c>
      <c r="M175" t="str">
        <f>REPT(" ",3-K175)&amp;IF(K175=0," ","")</f>
        <v xml:space="preserve">    </v>
      </c>
      <c r="O175" s="194"/>
      <c r="P175" s="208">
        <f>IF(ISNUMBER(D175),LOOKUP(D175,$AB$5:$AC$7),D175)</f>
        <v>0</v>
      </c>
      <c r="Q175" s="208">
        <f t="shared" si="28"/>
        <v>0</v>
      </c>
      <c r="R175" s="301" t="str">
        <f t="shared" ca="1" si="29"/>
        <v/>
      </c>
      <c r="S175" s="305">
        <f>H175</f>
        <v>0</v>
      </c>
      <c r="T175" s="145"/>
      <c r="U175" s="216">
        <f ca="1">IF(L175="l","",IF(D175+F175&gt;0,SUM(Z175:AA175),-1))</f>
        <v>-1</v>
      </c>
      <c r="V175" s="386"/>
      <c r="W175" s="107"/>
      <c r="Z175" s="114">
        <f>IF(D175&gt;0,0,TRUNC(F175*T175+Y175*X175))</f>
        <v>0</v>
      </c>
      <c r="AA175" t="b">
        <f>IF($D175=1,SUM(Z$13:Z173)-SUM(AA$13:AA173),IF($D175=2,$AA$6,IF($D175=3,TRUNC($AA$6,-3))))</f>
        <v>0</v>
      </c>
      <c r="AB175">
        <f ca="1">IF(OR(AC$8=0,L174="l",D175&gt;0,U175=-1),0,IF(L174="b",-U175,TRUNC(F174*T175)))</f>
        <v>0</v>
      </c>
      <c r="AC175" t="b">
        <f>IF($D175=1,SUM(AB$13:AB173)-SUM(AC$13:AC173),IF($D175=2,$AA$5,IF($D175=3,TRUNC($AA$5,-3))))</f>
        <v>0</v>
      </c>
    </row>
    <row r="176" spans="3:29" ht="15" customHeight="1" x14ac:dyDescent="0.15">
      <c r="C176" s="182"/>
      <c r="D176" s="210"/>
      <c r="E176" s="184"/>
      <c r="F176" s="227"/>
      <c r="G176" s="297" t="str">
        <f ca="1">IF(OR(AC$8=0,L176="b"),"",IF(L176="l",0,"("&amp;FIXED(-F176,K177,0)&amp;M176))</f>
        <v/>
      </c>
      <c r="H176" s="183"/>
      <c r="I176" s="185"/>
      <c r="L176" t="str">
        <f t="shared" ca="1" si="27"/>
        <v>b</v>
      </c>
      <c r="M176" t="str">
        <f>")"&amp;REPT(" ",2-K177)&amp;IF(K177=0," ","")</f>
        <v xml:space="preserve">)   </v>
      </c>
      <c r="O176" s="194"/>
      <c r="P176" s="207">
        <f>D176</f>
        <v>0</v>
      </c>
      <c r="Q176" s="207">
        <f t="shared" si="28"/>
        <v>0</v>
      </c>
      <c r="R176" s="300" t="str">
        <f t="shared" ca="1" si="29"/>
        <v/>
      </c>
      <c r="S176" s="304"/>
      <c r="T176" s="144"/>
      <c r="U176" s="206">
        <f ca="1">IF(OR(AC$8=0,SUM(Z177:AC177)=0),1,IF(L176="l","",SUM(AB177:AC177)))</f>
        <v>1</v>
      </c>
      <c r="V176" s="385"/>
      <c r="W176" s="50"/>
    </row>
    <row r="177" spans="3:29" ht="15" customHeight="1" x14ac:dyDescent="0.15">
      <c r="C177" s="186"/>
      <c r="D177" s="205"/>
      <c r="E177" s="188"/>
      <c r="F177" s="226"/>
      <c r="G177" s="296" t="str">
        <f ca="1">IF(L177="b","",IF(L177="l",0,FIXED(F177,K177,0)&amp;M177))</f>
        <v/>
      </c>
      <c r="H177" s="187"/>
      <c r="I177" s="189"/>
      <c r="K177" s="215"/>
      <c r="L177" t="str">
        <f t="shared" ca="1" si="27"/>
        <v>b</v>
      </c>
      <c r="M177" t="str">
        <f>REPT(" ",3-K177)&amp;IF(K177=0," ","")</f>
        <v xml:space="preserve">    </v>
      </c>
      <c r="O177" s="194"/>
      <c r="P177" s="208">
        <f>IF(ISNUMBER(D177),LOOKUP(D177,$AB$5:$AC$7),D177)</f>
        <v>0</v>
      </c>
      <c r="Q177" s="208">
        <f t="shared" si="28"/>
        <v>0</v>
      </c>
      <c r="R177" s="301" t="str">
        <f t="shared" ca="1" si="29"/>
        <v/>
      </c>
      <c r="S177" s="305">
        <f>H177</f>
        <v>0</v>
      </c>
      <c r="T177" s="145"/>
      <c r="U177" s="216">
        <f ca="1">IF(L177="l","",IF(D177+F177&gt;0,SUM(Z177:AA177),-1))</f>
        <v>-1</v>
      </c>
      <c r="V177" s="386"/>
      <c r="W177" s="107"/>
      <c r="Z177" s="114">
        <f>IF(D177&gt;0,0,TRUNC(F177*T177+Y177*X177))</f>
        <v>0</v>
      </c>
      <c r="AA177" t="b">
        <f>IF($D177=1,SUM(Z$13:Z175)-SUM(AA$13:AA175),IF($D177=2,$AA$6,IF($D177=3,TRUNC($AA$6,-3))))</f>
        <v>0</v>
      </c>
      <c r="AB177">
        <f ca="1">IF(OR(AC$8=0,L176="l",D177&gt;0,U177=-1),0,IF(L176="b",-U177,TRUNC(F176*T177)))</f>
        <v>0</v>
      </c>
      <c r="AC177" t="b">
        <f>IF($D177=1,SUM(AB$13:AB175)-SUM(AC$13:AC175),IF($D177=2,$AA$5,IF($D177=3,TRUNC($AA$5,-3))))</f>
        <v>0</v>
      </c>
    </row>
    <row r="178" spans="3:29" ht="15" customHeight="1" x14ac:dyDescent="0.15">
      <c r="C178" s="182"/>
      <c r="D178" s="210"/>
      <c r="E178" s="184"/>
      <c r="F178" s="227"/>
      <c r="G178" s="297" t="str">
        <f ca="1">IF(OR(AC$8=0,L178="b"),"",IF(L178="l",0,"("&amp;FIXED(-F178,K179,0)&amp;M178))</f>
        <v/>
      </c>
      <c r="H178" s="183"/>
      <c r="I178" s="185"/>
      <c r="L178" t="str">
        <f t="shared" ca="1" si="27"/>
        <v>b</v>
      </c>
      <c r="M178" t="str">
        <f>")"&amp;REPT(" ",2-K179)&amp;IF(K179=0," ","")</f>
        <v xml:space="preserve">)   </v>
      </c>
      <c r="O178" s="194"/>
      <c r="P178" s="207">
        <f>D178</f>
        <v>0</v>
      </c>
      <c r="Q178" s="207">
        <f t="shared" si="28"/>
        <v>0</v>
      </c>
      <c r="R178" s="300" t="str">
        <f t="shared" ca="1" si="29"/>
        <v/>
      </c>
      <c r="S178" s="304"/>
      <c r="T178" s="144"/>
      <c r="U178" s="206">
        <f ca="1">IF(OR(AC$8=0,SUM(Z179:AC179)=0),1,IF(L178="l","",SUM(AB179:AC179)))</f>
        <v>1</v>
      </c>
      <c r="V178" s="385"/>
      <c r="W178" s="50"/>
    </row>
    <row r="179" spans="3:29" ht="15" customHeight="1" x14ac:dyDescent="0.15">
      <c r="C179" s="186"/>
      <c r="D179" s="205"/>
      <c r="E179" s="188"/>
      <c r="F179" s="226"/>
      <c r="G179" s="296" t="str">
        <f ca="1">IF(L179="b","",IF(L179="l",0,FIXED(F179,K179,0)&amp;M179))</f>
        <v/>
      </c>
      <c r="H179" s="187"/>
      <c r="I179" s="189"/>
      <c r="K179" s="215"/>
      <c r="L179" t="str">
        <f t="shared" ca="1" si="27"/>
        <v>b</v>
      </c>
      <c r="M179" t="str">
        <f>REPT(" ",3-K179)&amp;IF(K179=0," ","")</f>
        <v xml:space="preserve">    </v>
      </c>
      <c r="O179" s="194"/>
      <c r="P179" s="208">
        <f>IF(ISNUMBER(D179),LOOKUP(D179,$AB$5:$AC$7),D179)</f>
        <v>0</v>
      </c>
      <c r="Q179" s="208">
        <f t="shared" si="28"/>
        <v>0</v>
      </c>
      <c r="R179" s="301" t="str">
        <f t="shared" ca="1" si="29"/>
        <v/>
      </c>
      <c r="S179" s="305">
        <f>H179</f>
        <v>0</v>
      </c>
      <c r="T179" s="145"/>
      <c r="U179" s="216">
        <f ca="1">IF(L179="l","",IF(D179+F179&gt;0,SUM(Z179:AA179),-1))</f>
        <v>-1</v>
      </c>
      <c r="V179" s="386"/>
      <c r="W179" s="107"/>
      <c r="Z179" s="114">
        <f>IF(D179&gt;0,0,TRUNC(F179*T179+Y179*X179))</f>
        <v>0</v>
      </c>
      <c r="AA179" t="b">
        <f>IF($D179=1,SUM(Z$13:Z177)-SUM(AA$13:AA177),IF($D179=2,$AA$6,IF($D179=3,TRUNC($AA$6,-3))))</f>
        <v>0</v>
      </c>
      <c r="AB179">
        <f ca="1">IF(OR(AC$8=0,L178="l",D179&gt;0,U179=-1),0,IF(L178="b",-U179,TRUNC(F178*T179)))</f>
        <v>0</v>
      </c>
      <c r="AC179" t="b">
        <f>IF($D179=1,SUM(AB$13:AB177)-SUM(AC$13:AC177),IF($D179=2,$AA$5,IF($D179=3,TRUNC($AA$5,-3))))</f>
        <v>0</v>
      </c>
    </row>
    <row r="180" spans="3:29" ht="15" customHeight="1" x14ac:dyDescent="0.15">
      <c r="C180" s="182"/>
      <c r="D180" s="210"/>
      <c r="E180" s="184"/>
      <c r="F180" s="227"/>
      <c r="G180" s="297" t="str">
        <f ca="1">IF(OR(AC$8=0,L180="b"),"",IF(L180="l",0,"("&amp;FIXED(-F180,K181,0)&amp;M180))</f>
        <v/>
      </c>
      <c r="H180" s="183"/>
      <c r="I180" s="185"/>
      <c r="L180" t="str">
        <f t="shared" ca="1" si="27"/>
        <v>b</v>
      </c>
      <c r="M180" t="str">
        <f>")"&amp;REPT(" ",2-K181)&amp;IF(K181=0," ","")</f>
        <v xml:space="preserve">)   </v>
      </c>
      <c r="O180" s="194"/>
      <c r="P180" s="207">
        <f>D180</f>
        <v>0</v>
      </c>
      <c r="Q180" s="207">
        <f t="shared" si="28"/>
        <v>0</v>
      </c>
      <c r="R180" s="300" t="str">
        <f t="shared" ca="1" si="29"/>
        <v/>
      </c>
      <c r="S180" s="304"/>
      <c r="T180" s="144"/>
      <c r="U180" s="206">
        <f ca="1">IF(OR(AC$8=0,SUM(Z181:AC181)=0),1,IF(L180="l","",SUM(AB181:AC181)))</f>
        <v>1</v>
      </c>
      <c r="V180" s="385"/>
      <c r="W180" s="50"/>
    </row>
    <row r="181" spans="3:29" ht="15" customHeight="1" x14ac:dyDescent="0.15">
      <c r="C181" s="186"/>
      <c r="D181" s="205"/>
      <c r="E181" s="188"/>
      <c r="F181" s="226"/>
      <c r="G181" s="296" t="str">
        <f ca="1">IF(L181="b","",IF(L181="l",0,FIXED(F181,K181,0)&amp;M181))</f>
        <v/>
      </c>
      <c r="H181" s="187"/>
      <c r="I181" s="189"/>
      <c r="K181" s="215"/>
      <c r="L181" t="str">
        <f t="shared" ca="1" si="27"/>
        <v>b</v>
      </c>
      <c r="M181" t="str">
        <f>REPT(" ",3-K181)&amp;IF(K181=0," ","")</f>
        <v xml:space="preserve">    </v>
      </c>
      <c r="O181" s="194"/>
      <c r="P181" s="208">
        <f>IF(ISNUMBER(D181),LOOKUP(D181,$AB$5:$AC$7),D181)</f>
        <v>0</v>
      </c>
      <c r="Q181" s="208">
        <f t="shared" si="28"/>
        <v>0</v>
      </c>
      <c r="R181" s="301" t="str">
        <f t="shared" ca="1" si="29"/>
        <v/>
      </c>
      <c r="S181" s="305">
        <f>H181</f>
        <v>0</v>
      </c>
      <c r="T181" s="145"/>
      <c r="U181" s="216">
        <f ca="1">IF(L181="l","",IF(D181+F181&gt;0,SUM(Z181:AA181),-1))</f>
        <v>-1</v>
      </c>
      <c r="V181" s="386"/>
      <c r="W181" s="107"/>
      <c r="Z181" s="114">
        <f>IF(D181&gt;0,0,TRUNC(F181*T181+Y181*X181))</f>
        <v>0</v>
      </c>
      <c r="AA181" t="b">
        <f>IF($D181=1,SUM(Z$13:Z179)-SUM(AA$13:AA179),IF($D181=2,$AA$6,IF($D181=3,TRUNC($AA$6,-3))))</f>
        <v>0</v>
      </c>
      <c r="AB181">
        <f ca="1">IF(OR(AC$8=0,L180="l",D181&gt;0,U181=-1),0,IF(L180="b",-U181,TRUNC(F180*T181)))</f>
        <v>0</v>
      </c>
      <c r="AC181" t="b">
        <f>IF($D181=1,SUM(AB$13:AB179)-SUM(AC$13:AC179),IF($D181=2,$AA$5,IF($D181=3,TRUNC($AA$5,-3))))</f>
        <v>0</v>
      </c>
    </row>
    <row r="182" spans="3:29" ht="15" customHeight="1" x14ac:dyDescent="0.15">
      <c r="C182" s="182"/>
      <c r="D182" s="210"/>
      <c r="E182" s="184"/>
      <c r="F182" s="227"/>
      <c r="G182" s="297" t="str">
        <f ca="1">IF(OR(AC$8=0,L182="b"),"",IF(L182="l",0,"("&amp;FIXED(-F182,K183,0)&amp;M182))</f>
        <v/>
      </c>
      <c r="H182" s="183"/>
      <c r="I182" s="185"/>
      <c r="L182" t="str">
        <f t="shared" ref="L182:L213" ca="1" si="30">CELL("type",F182)</f>
        <v>b</v>
      </c>
      <c r="M182" t="str">
        <f>")"&amp;REPT(" ",2-K183)&amp;IF(K183=0," ","")</f>
        <v xml:space="preserve">)   </v>
      </c>
      <c r="O182" s="194"/>
      <c r="P182" s="207">
        <f>D182</f>
        <v>0</v>
      </c>
      <c r="Q182" s="207">
        <f t="shared" ref="Q182:Q213" si="31">E182</f>
        <v>0</v>
      </c>
      <c r="R182" s="300" t="str">
        <f t="shared" ref="R182:R213" ca="1" si="32">G182</f>
        <v/>
      </c>
      <c r="S182" s="304"/>
      <c r="T182" s="144"/>
      <c r="U182" s="206">
        <f ca="1">IF(OR(AC$8=0,SUM(Z183:AC183)=0),1,IF(L182="l","",SUM(AB183:AC183)))</f>
        <v>1</v>
      </c>
      <c r="V182" s="385"/>
      <c r="W182" s="50"/>
    </row>
    <row r="183" spans="3:29" ht="15" customHeight="1" x14ac:dyDescent="0.15">
      <c r="C183" s="186"/>
      <c r="D183" s="205"/>
      <c r="E183" s="188"/>
      <c r="F183" s="226"/>
      <c r="G183" s="296" t="str">
        <f ca="1">IF(L183="b","",IF(L183="l",0,FIXED(F183,K183,0)&amp;M183))</f>
        <v/>
      </c>
      <c r="H183" s="187"/>
      <c r="I183" s="189"/>
      <c r="K183" s="215"/>
      <c r="L183" t="str">
        <f t="shared" ca="1" si="30"/>
        <v>b</v>
      </c>
      <c r="M183" t="str">
        <f>REPT(" ",3-K183)&amp;IF(K183=0," ","")</f>
        <v xml:space="preserve">    </v>
      </c>
      <c r="O183" s="194"/>
      <c r="P183" s="208">
        <f>IF(ISNUMBER(D183),LOOKUP(D183,$AB$5:$AC$7),D183)</f>
        <v>0</v>
      </c>
      <c r="Q183" s="208">
        <f t="shared" si="31"/>
        <v>0</v>
      </c>
      <c r="R183" s="301" t="str">
        <f t="shared" ca="1" si="32"/>
        <v/>
      </c>
      <c r="S183" s="305">
        <f>H183</f>
        <v>0</v>
      </c>
      <c r="T183" s="145"/>
      <c r="U183" s="216">
        <f ca="1">IF(L183="l","",IF(D183+F183&gt;0,SUM(Z183:AA183),-1))</f>
        <v>-1</v>
      </c>
      <c r="V183" s="386"/>
      <c r="W183" s="107"/>
      <c r="Z183" s="114">
        <f>IF(D183&gt;0,0,TRUNC(F183*T183+Y183*X183))</f>
        <v>0</v>
      </c>
      <c r="AA183" t="b">
        <f>IF($D183=1,SUM(Z$13:Z181)-SUM(AA$13:AA181),IF($D183=2,$AA$6,IF($D183=3,TRUNC($AA$6,-3))))</f>
        <v>0</v>
      </c>
      <c r="AB183">
        <f ca="1">IF(OR(AC$8=0,L182="l",D183&gt;0,U183=-1),0,IF(L182="b",-U183,TRUNC(F182*T183)))</f>
        <v>0</v>
      </c>
      <c r="AC183" t="b">
        <f>IF($D183=1,SUM(AB$13:AB181)-SUM(AC$13:AC181),IF($D183=2,$AA$5,IF($D183=3,TRUNC($AA$5,-3))))</f>
        <v>0</v>
      </c>
    </row>
    <row r="184" spans="3:29" ht="15" customHeight="1" x14ac:dyDescent="0.15">
      <c r="C184" s="182"/>
      <c r="D184" s="210"/>
      <c r="E184" s="184"/>
      <c r="F184" s="227"/>
      <c r="G184" s="297" t="str">
        <f ca="1">IF(OR(AC$8=0,L184="b"),"",IF(L184="l",0,"("&amp;FIXED(-F184,K185,0)&amp;M184))</f>
        <v/>
      </c>
      <c r="H184" s="183"/>
      <c r="I184" s="185"/>
      <c r="L184" t="str">
        <f t="shared" ca="1" si="30"/>
        <v>b</v>
      </c>
      <c r="M184" t="str">
        <f>")"&amp;REPT(" ",2-K185)&amp;IF(K185=0," ","")</f>
        <v xml:space="preserve">)   </v>
      </c>
      <c r="O184" s="194"/>
      <c r="P184" s="207">
        <f>D184</f>
        <v>0</v>
      </c>
      <c r="Q184" s="207">
        <f t="shared" si="31"/>
        <v>0</v>
      </c>
      <c r="R184" s="300" t="str">
        <f t="shared" ca="1" si="32"/>
        <v/>
      </c>
      <c r="S184" s="304"/>
      <c r="T184" s="144"/>
      <c r="U184" s="206">
        <f ca="1">IF(OR(AC$8=0,SUM(Z185:AC185)=0),1,IF(L184="l","",SUM(AB185:AC185)))</f>
        <v>1</v>
      </c>
      <c r="V184" s="385"/>
      <c r="W184" s="50"/>
    </row>
    <row r="185" spans="3:29" ht="15" customHeight="1" x14ac:dyDescent="0.15">
      <c r="C185" s="186"/>
      <c r="D185" s="205"/>
      <c r="E185" s="188"/>
      <c r="F185" s="226"/>
      <c r="G185" s="296" t="str">
        <f ca="1">IF(L185="b","",IF(L185="l",0,FIXED(F185,K185,0)&amp;M185))</f>
        <v/>
      </c>
      <c r="H185" s="187"/>
      <c r="I185" s="189"/>
      <c r="K185" s="215"/>
      <c r="L185" t="str">
        <f t="shared" ca="1" si="30"/>
        <v>b</v>
      </c>
      <c r="M185" t="str">
        <f>REPT(" ",3-K185)&amp;IF(K185=0," ","")</f>
        <v xml:space="preserve">    </v>
      </c>
      <c r="O185" s="194"/>
      <c r="P185" s="208">
        <f>IF(ISNUMBER(D185),LOOKUP(D185,$AB$5:$AC$7),D185)</f>
        <v>0</v>
      </c>
      <c r="Q185" s="208">
        <f t="shared" si="31"/>
        <v>0</v>
      </c>
      <c r="R185" s="301" t="str">
        <f t="shared" ca="1" si="32"/>
        <v/>
      </c>
      <c r="S185" s="305">
        <f>H185</f>
        <v>0</v>
      </c>
      <c r="T185" s="145"/>
      <c r="U185" s="216">
        <f ca="1">IF(L185="l","",IF(D185+F185&gt;0,SUM(Z185:AA185),-1))</f>
        <v>-1</v>
      </c>
      <c r="V185" s="386"/>
      <c r="W185" s="107"/>
      <c r="Z185" s="114">
        <f>IF(D185&gt;0,0,TRUNC(F185*T185+Y185*X185))</f>
        <v>0</v>
      </c>
      <c r="AA185" t="b">
        <f>IF($D185=1,SUM(Z$13:Z183)-SUM(AA$13:AA183),IF($D185=2,$AA$6,IF($D185=3,TRUNC($AA$6,-3))))</f>
        <v>0</v>
      </c>
      <c r="AB185">
        <f ca="1">IF(OR(AC$8=0,L184="l",D185&gt;0,U185=-1),0,IF(L184="b",-U185,TRUNC(F184*T185)))</f>
        <v>0</v>
      </c>
      <c r="AC185" t="b">
        <f>IF($D185=1,SUM(AB$13:AB183)-SUM(AC$13:AC183),IF($D185=2,$AA$5,IF($D185=3,TRUNC($AA$5,-3))))</f>
        <v>0</v>
      </c>
    </row>
    <row r="186" spans="3:29" ht="15" customHeight="1" x14ac:dyDescent="0.15">
      <c r="C186" s="182"/>
      <c r="D186" s="210"/>
      <c r="E186" s="184"/>
      <c r="F186" s="227"/>
      <c r="G186" s="297" t="str">
        <f ca="1">IF(OR(AC$8=0,L186="b"),"",IF(L186="l",0,"("&amp;FIXED(-F186,K187,0)&amp;M186))</f>
        <v/>
      </c>
      <c r="H186" s="183"/>
      <c r="I186" s="185"/>
      <c r="L186" t="str">
        <f t="shared" ca="1" si="30"/>
        <v>b</v>
      </c>
      <c r="M186" t="str">
        <f>")"&amp;REPT(" ",2-K187)&amp;IF(K187=0," ","")</f>
        <v xml:space="preserve">)   </v>
      </c>
      <c r="O186" s="194"/>
      <c r="P186" s="207">
        <f>D186</f>
        <v>0</v>
      </c>
      <c r="Q186" s="207">
        <f t="shared" si="31"/>
        <v>0</v>
      </c>
      <c r="R186" s="300" t="str">
        <f t="shared" ca="1" si="32"/>
        <v/>
      </c>
      <c r="S186" s="304"/>
      <c r="T186" s="144"/>
      <c r="U186" s="206">
        <f ca="1">IF(OR(AC$8=0,SUM(Z187:AC187)=0),1,IF(L186="l","",SUM(AB187:AC187)))</f>
        <v>1</v>
      </c>
      <c r="V186" s="385"/>
      <c r="W186" s="50"/>
    </row>
    <row r="187" spans="3:29" ht="15" customHeight="1" x14ac:dyDescent="0.15">
      <c r="C187" s="186"/>
      <c r="D187" s="205"/>
      <c r="E187" s="188"/>
      <c r="F187" s="226"/>
      <c r="G187" s="296" t="str">
        <f ca="1">IF(L187="b","",IF(L187="l",0,FIXED(F187,K187,0)&amp;M187))</f>
        <v/>
      </c>
      <c r="H187" s="187"/>
      <c r="I187" s="189"/>
      <c r="K187" s="215"/>
      <c r="L187" t="str">
        <f t="shared" ca="1" si="30"/>
        <v>b</v>
      </c>
      <c r="M187" t="str">
        <f>REPT(" ",3-K187)&amp;IF(K187=0," ","")</f>
        <v xml:space="preserve">    </v>
      </c>
      <c r="O187" s="194"/>
      <c r="P187" s="208">
        <f>IF(ISNUMBER(D187),LOOKUP(D187,$AB$5:$AC$7),D187)</f>
        <v>0</v>
      </c>
      <c r="Q187" s="208">
        <f t="shared" si="31"/>
        <v>0</v>
      </c>
      <c r="R187" s="301" t="str">
        <f t="shared" ca="1" si="32"/>
        <v/>
      </c>
      <c r="S187" s="305">
        <f>H187</f>
        <v>0</v>
      </c>
      <c r="T187" s="145"/>
      <c r="U187" s="216">
        <f ca="1">IF(L187="l","",IF(D187+F187&gt;0,SUM(Z187:AA187),-1))</f>
        <v>-1</v>
      </c>
      <c r="V187" s="386"/>
      <c r="W187" s="107"/>
      <c r="Z187" s="114">
        <f>IF(D187&gt;0,0,TRUNC(F187*T187+Y187*X187))</f>
        <v>0</v>
      </c>
      <c r="AA187" t="b">
        <f>IF($D187=1,SUM(Z$13:Z185)-SUM(AA$13:AA185),IF($D187=2,$AA$6,IF($D187=3,TRUNC($AA$6,-3))))</f>
        <v>0</v>
      </c>
      <c r="AB187">
        <f ca="1">IF(OR(AC$8=0,L186="l",D187&gt;0,U187=-1),0,IF(L186="b",-U187,TRUNC(F186*T187)))</f>
        <v>0</v>
      </c>
      <c r="AC187" t="b">
        <f>IF($D187=1,SUM(AB$13:AB185)-SUM(AC$13:AC185),IF($D187=2,$AA$5,IF($D187=3,TRUNC($AA$5,-3))))</f>
        <v>0</v>
      </c>
    </row>
    <row r="188" spans="3:29" ht="15" customHeight="1" x14ac:dyDescent="0.15">
      <c r="C188" s="182"/>
      <c r="D188" s="210"/>
      <c r="E188" s="184"/>
      <c r="F188" s="227"/>
      <c r="G188" s="297" t="str">
        <f ca="1">IF(OR(AC$8=0,L188="b"),"",IF(L188="l",0,"("&amp;FIXED(-F188,K189,0)&amp;M188))</f>
        <v/>
      </c>
      <c r="H188" s="183"/>
      <c r="I188" s="185"/>
      <c r="L188" t="str">
        <f t="shared" ca="1" si="30"/>
        <v>b</v>
      </c>
      <c r="M188" t="str">
        <f>")"&amp;REPT(" ",2-K189)&amp;IF(K189=0," ","")</f>
        <v xml:space="preserve">)   </v>
      </c>
      <c r="O188" s="194"/>
      <c r="P188" s="207">
        <f>D188</f>
        <v>0</v>
      </c>
      <c r="Q188" s="207">
        <f t="shared" si="31"/>
        <v>0</v>
      </c>
      <c r="R188" s="300" t="str">
        <f t="shared" ca="1" si="32"/>
        <v/>
      </c>
      <c r="S188" s="304"/>
      <c r="T188" s="144"/>
      <c r="U188" s="206">
        <f ca="1">IF(OR(AC$8=0,SUM(Z189:AC189)=0),1,IF(L188="l","",SUM(AB189:AC189)))</f>
        <v>1</v>
      </c>
      <c r="V188" s="385"/>
      <c r="W188" s="50"/>
    </row>
    <row r="189" spans="3:29" ht="15" customHeight="1" x14ac:dyDescent="0.15">
      <c r="C189" s="186"/>
      <c r="D189" s="205"/>
      <c r="E189" s="188"/>
      <c r="F189" s="226"/>
      <c r="G189" s="296" t="str">
        <f ca="1">IF(L189="b","",IF(L189="l",0,FIXED(F189,K189,0)&amp;M189))</f>
        <v/>
      </c>
      <c r="H189" s="187"/>
      <c r="I189" s="189"/>
      <c r="K189" s="215"/>
      <c r="L189" t="str">
        <f t="shared" ca="1" si="30"/>
        <v>b</v>
      </c>
      <c r="M189" t="str">
        <f>REPT(" ",3-K189)&amp;IF(K189=0," ","")</f>
        <v xml:space="preserve">    </v>
      </c>
      <c r="O189" s="194"/>
      <c r="P189" s="208">
        <f>IF(ISNUMBER(D189),LOOKUP(D189,$AB$5:$AC$7),D189)</f>
        <v>0</v>
      </c>
      <c r="Q189" s="208">
        <f t="shared" si="31"/>
        <v>0</v>
      </c>
      <c r="R189" s="301" t="str">
        <f t="shared" ca="1" si="32"/>
        <v/>
      </c>
      <c r="S189" s="305">
        <f>H189</f>
        <v>0</v>
      </c>
      <c r="T189" s="145"/>
      <c r="U189" s="216">
        <f ca="1">IF(L189="l","",IF(D189+F189&gt;0,SUM(Z189:AA189),-1))</f>
        <v>-1</v>
      </c>
      <c r="V189" s="386"/>
      <c r="W189" s="107"/>
      <c r="Z189" s="114">
        <f>IF(D189&gt;0,0,TRUNC(F189*T189+Y189*X189))</f>
        <v>0</v>
      </c>
      <c r="AA189" t="b">
        <f>IF($D189=1,SUM(Z$13:Z187)-SUM(AA$13:AA187),IF($D189=2,$AA$6,IF($D189=3,TRUNC($AA$6,-3))))</f>
        <v>0</v>
      </c>
      <c r="AB189">
        <f ca="1">IF(OR(AC$8=0,L188="l",D189&gt;0,U189=-1),0,IF(L188="b",-U189,TRUNC(F188*T189)))</f>
        <v>0</v>
      </c>
      <c r="AC189" t="b">
        <f>IF($D189=1,SUM(AB$13:AB187)-SUM(AC$13:AC187),IF($D189=2,$AA$5,IF($D189=3,TRUNC($AA$5,-3))))</f>
        <v>0</v>
      </c>
    </row>
    <row r="190" spans="3:29" ht="15" customHeight="1" x14ac:dyDescent="0.15">
      <c r="C190" s="182"/>
      <c r="D190" s="210"/>
      <c r="E190" s="184"/>
      <c r="F190" s="227"/>
      <c r="G190" s="297" t="str">
        <f ca="1">IF(OR(AC$8=0,L190="b"),"",IF(L190="l",0,"("&amp;FIXED(-F190,K191,0)&amp;M190))</f>
        <v/>
      </c>
      <c r="H190" s="183"/>
      <c r="I190" s="185"/>
      <c r="L190" t="str">
        <f t="shared" ca="1" si="30"/>
        <v>b</v>
      </c>
      <c r="M190" t="str">
        <f>")"&amp;REPT(" ",2-K191)&amp;IF(K191=0," ","")</f>
        <v xml:space="preserve">)   </v>
      </c>
      <c r="O190" s="194"/>
      <c r="P190" s="207">
        <f>D190</f>
        <v>0</v>
      </c>
      <c r="Q190" s="207">
        <f t="shared" si="31"/>
        <v>0</v>
      </c>
      <c r="R190" s="300" t="str">
        <f t="shared" ca="1" si="32"/>
        <v/>
      </c>
      <c r="S190" s="304"/>
      <c r="T190" s="144"/>
      <c r="U190" s="206">
        <f ca="1">IF(OR(AC$8=0,SUM(Z191:AC191)=0),1,IF(L190="l","",SUM(AB191:AC191)))</f>
        <v>1</v>
      </c>
      <c r="V190" s="385"/>
      <c r="W190" s="50"/>
    </row>
    <row r="191" spans="3:29" ht="15" customHeight="1" x14ac:dyDescent="0.15">
      <c r="C191" s="186"/>
      <c r="D191" s="205"/>
      <c r="E191" s="188"/>
      <c r="F191" s="226"/>
      <c r="G191" s="296" t="str">
        <f ca="1">IF(L191="b","",IF(L191="l",0,FIXED(F191,K191,0)&amp;M191))</f>
        <v/>
      </c>
      <c r="H191" s="187"/>
      <c r="I191" s="189"/>
      <c r="K191" s="215"/>
      <c r="L191" t="str">
        <f t="shared" ca="1" si="30"/>
        <v>b</v>
      </c>
      <c r="M191" t="str">
        <f>REPT(" ",3-K191)&amp;IF(K191=0," ","")</f>
        <v xml:space="preserve">    </v>
      </c>
      <c r="O191" s="194"/>
      <c r="P191" s="208">
        <f>IF(ISNUMBER(D191),LOOKUP(D191,$AB$5:$AC$7),D191)</f>
        <v>0</v>
      </c>
      <c r="Q191" s="208">
        <f t="shared" si="31"/>
        <v>0</v>
      </c>
      <c r="R191" s="301" t="str">
        <f t="shared" ca="1" si="32"/>
        <v/>
      </c>
      <c r="S191" s="305">
        <f>H191</f>
        <v>0</v>
      </c>
      <c r="T191" s="145"/>
      <c r="U191" s="216">
        <f ca="1">IF(L191="l","",IF(D191+F191&gt;0,SUM(Z191:AA191),-1))</f>
        <v>-1</v>
      </c>
      <c r="V191" s="386"/>
      <c r="W191" s="107"/>
      <c r="Z191" s="114">
        <f>IF(D191&gt;0,0,TRUNC(F191*T191+Y191*X191))</f>
        <v>0</v>
      </c>
      <c r="AA191" t="b">
        <f>IF($D191=1,SUM(Z$13:Z189)-SUM(AA$13:AA189),IF($D191=2,$AA$6,IF($D191=3,TRUNC($AA$6,-3))))</f>
        <v>0</v>
      </c>
      <c r="AB191">
        <f ca="1">IF(OR(AC$8=0,L190="l",D191&gt;0,U191=-1),0,IF(L190="b",-U191,TRUNC(F190*T191)))</f>
        <v>0</v>
      </c>
      <c r="AC191" t="b">
        <f>IF($D191=1,SUM(AB$13:AB189)-SUM(AC$13:AC189),IF($D191=2,$AA$5,IF($D191=3,TRUNC($AA$5,-3))))</f>
        <v>0</v>
      </c>
    </row>
    <row r="192" spans="3:29" ht="15" customHeight="1" x14ac:dyDescent="0.15">
      <c r="C192" s="182"/>
      <c r="D192" s="210"/>
      <c r="E192" s="184"/>
      <c r="F192" s="227"/>
      <c r="G192" s="297" t="str">
        <f ca="1">IF(OR(AC$8=0,L192="b"),"",IF(L192="l",0,"("&amp;FIXED(-F192,K193,0)&amp;M192))</f>
        <v/>
      </c>
      <c r="H192" s="183"/>
      <c r="I192" s="185"/>
      <c r="L192" t="str">
        <f t="shared" ca="1" si="30"/>
        <v>b</v>
      </c>
      <c r="M192" t="str">
        <f>")"&amp;REPT(" ",2-K193)&amp;IF(K193=0," ","")</f>
        <v xml:space="preserve">)   </v>
      </c>
      <c r="O192" s="194"/>
      <c r="P192" s="207">
        <f>D192</f>
        <v>0</v>
      </c>
      <c r="Q192" s="207">
        <f t="shared" si="31"/>
        <v>0</v>
      </c>
      <c r="R192" s="300" t="str">
        <f t="shared" ca="1" si="32"/>
        <v/>
      </c>
      <c r="S192" s="304"/>
      <c r="T192" s="144"/>
      <c r="U192" s="206">
        <f ca="1">IF(OR(AC$8=0,SUM(Z193:AC193)=0),1,IF(L192="l","",SUM(AB193:AC193)))</f>
        <v>1</v>
      </c>
      <c r="V192" s="385"/>
      <c r="W192" s="50"/>
    </row>
    <row r="193" spans="3:29" ht="15" customHeight="1" x14ac:dyDescent="0.15">
      <c r="C193" s="186"/>
      <c r="D193" s="205"/>
      <c r="E193" s="188"/>
      <c r="F193" s="226"/>
      <c r="G193" s="296" t="str">
        <f ca="1">IF(L193="b","",IF(L193="l",0,FIXED(F193,K193,0)&amp;M193))</f>
        <v/>
      </c>
      <c r="H193" s="187"/>
      <c r="I193" s="189"/>
      <c r="K193" s="215"/>
      <c r="L193" t="str">
        <f t="shared" ca="1" si="30"/>
        <v>b</v>
      </c>
      <c r="M193" t="str">
        <f>REPT(" ",3-K193)&amp;IF(K193=0," ","")</f>
        <v xml:space="preserve">    </v>
      </c>
      <c r="O193" s="194"/>
      <c r="P193" s="208">
        <f>IF(ISNUMBER(D193),LOOKUP(D193,$AB$5:$AC$7),D193)</f>
        <v>0</v>
      </c>
      <c r="Q193" s="208">
        <f t="shared" si="31"/>
        <v>0</v>
      </c>
      <c r="R193" s="301" t="str">
        <f t="shared" ca="1" si="32"/>
        <v/>
      </c>
      <c r="S193" s="305">
        <f>H193</f>
        <v>0</v>
      </c>
      <c r="T193" s="145"/>
      <c r="U193" s="216">
        <f ca="1">IF(L193="l","",IF(D193+F193&gt;0,SUM(Z193:AA193),-1))</f>
        <v>-1</v>
      </c>
      <c r="V193" s="403"/>
      <c r="W193" s="107"/>
      <c r="Z193" s="114">
        <f>IF(D193&gt;0,0,TRUNC(F193*T193+Y193*X193))</f>
        <v>0</v>
      </c>
      <c r="AA193" t="b">
        <f>IF($D193=1,SUM(Z$13:Z191)-SUM(AA$13:AA191),IF($D193=2,$AA$6,IF($D193=3,TRUNC($AA$6,-3))))</f>
        <v>0</v>
      </c>
      <c r="AB193">
        <f ca="1">IF(OR(AC$8=0,L192="l",D193&gt;0,U193=-1),0,IF(L192="b",-U193,TRUNC(F192*T193)))</f>
        <v>0</v>
      </c>
      <c r="AC193" t="b">
        <f>IF($D193=1,SUM(AB$13:AB191)-SUM(AC$13:AC191),IF($D193=2,$AA$5,IF($D193=3,TRUNC($AA$5,-3))))</f>
        <v>0</v>
      </c>
    </row>
    <row r="194" spans="3:29" ht="15" customHeight="1" x14ac:dyDescent="0.15">
      <c r="C194" s="182"/>
      <c r="D194" s="210"/>
      <c r="E194" s="184"/>
      <c r="F194" s="227"/>
      <c r="G194" s="297" t="str">
        <f ca="1">IF(OR(AC$8=0,L194="b"),"",IF(L194="l",0,"("&amp;FIXED(-F194,K195,0)&amp;M194))</f>
        <v/>
      </c>
      <c r="H194" s="183"/>
      <c r="I194" s="185"/>
      <c r="L194" t="str">
        <f t="shared" ca="1" si="30"/>
        <v>b</v>
      </c>
      <c r="M194" t="str">
        <f>")"&amp;REPT(" ",2-K195)&amp;IF(K195=0," ","")</f>
        <v xml:space="preserve">)   </v>
      </c>
      <c r="O194" s="194"/>
      <c r="P194" s="207">
        <f>D194</f>
        <v>0</v>
      </c>
      <c r="Q194" s="207">
        <f t="shared" si="31"/>
        <v>0</v>
      </c>
      <c r="R194" s="300" t="str">
        <f t="shared" ca="1" si="32"/>
        <v/>
      </c>
      <c r="S194" s="304"/>
      <c r="T194" s="144"/>
      <c r="U194" s="206">
        <f ca="1">IF(OR(AC$8=0,SUM(Z195:AC195)=0),1,IF(L194="l","",SUM(AB195:AC195)))</f>
        <v>1</v>
      </c>
      <c r="V194" s="385"/>
      <c r="W194" s="50"/>
    </row>
    <row r="195" spans="3:29" ht="15" customHeight="1" x14ac:dyDescent="0.15">
      <c r="C195" s="186"/>
      <c r="D195" s="205"/>
      <c r="E195" s="188"/>
      <c r="F195" s="226"/>
      <c r="G195" s="296" t="str">
        <f ca="1">IF(L195="b","",IF(L195="l",0,FIXED(F195,K195,0)&amp;M195))</f>
        <v/>
      </c>
      <c r="H195" s="187"/>
      <c r="I195" s="189"/>
      <c r="K195" s="215"/>
      <c r="L195" t="str">
        <f t="shared" ca="1" si="30"/>
        <v>b</v>
      </c>
      <c r="M195" t="str">
        <f>REPT(" ",3-K195)&amp;IF(K195=0," ","")</f>
        <v xml:space="preserve">    </v>
      </c>
      <c r="O195" s="194"/>
      <c r="P195" s="208">
        <f>IF(ISNUMBER(D195),LOOKUP(D195,$AB$5:$AC$7),D195)</f>
        <v>0</v>
      </c>
      <c r="Q195" s="208">
        <f t="shared" si="31"/>
        <v>0</v>
      </c>
      <c r="R195" s="301" t="str">
        <f t="shared" ca="1" si="32"/>
        <v/>
      </c>
      <c r="S195" s="305">
        <f>H195</f>
        <v>0</v>
      </c>
      <c r="T195" s="145"/>
      <c r="U195" s="216">
        <f ca="1">IF(L195="l","",IF(D195+F195&gt;0,SUM(Z195:AA195),-1))</f>
        <v>-1</v>
      </c>
      <c r="V195" s="403"/>
      <c r="W195" s="107"/>
      <c r="Z195" s="114">
        <f>IF(D195&gt;0,0,TRUNC(F195*T195+Y195*X195))</f>
        <v>0</v>
      </c>
      <c r="AA195" t="b">
        <f>IF($D195=1,SUM(Z$13:Z193)-SUM(AA$13:AA193),IF($D195=2,$AA$6,IF($D195=3,TRUNC($AA$6,-3))))</f>
        <v>0</v>
      </c>
      <c r="AB195">
        <f ca="1">IF(OR(AC$8=0,L194="l",D195&gt;0,U195=-1),0,IF(L194="b",-U195,TRUNC(F194*T195)))</f>
        <v>0</v>
      </c>
      <c r="AC195" t="b">
        <f>IF($D195=1,SUM(AB$13:AB193)-SUM(AC$13:AC193),IF($D195=2,$AA$5,IF($D195=3,TRUNC($AA$5,-3))))</f>
        <v>0</v>
      </c>
    </row>
    <row r="196" spans="3:29" ht="15" customHeight="1" x14ac:dyDescent="0.15">
      <c r="C196" s="182"/>
      <c r="D196" s="210"/>
      <c r="E196" s="184"/>
      <c r="F196" s="225"/>
      <c r="G196" s="297" t="str">
        <f ca="1">IF(OR(AC$8=0,L196="b"),"",IF(L196="l",0,"("&amp;FIXED(-F196,K197,0)&amp;M196))</f>
        <v/>
      </c>
      <c r="H196" s="183"/>
      <c r="I196" s="185"/>
      <c r="L196" t="str">
        <f t="shared" ca="1" si="30"/>
        <v>b</v>
      </c>
      <c r="M196" t="str">
        <f>")"&amp;REPT(" ",2-K197)&amp;IF(K197=0," ","")</f>
        <v xml:space="preserve">)   </v>
      </c>
      <c r="O196" s="194"/>
      <c r="P196" s="207">
        <f>D196</f>
        <v>0</v>
      </c>
      <c r="Q196" s="207">
        <f t="shared" si="31"/>
        <v>0</v>
      </c>
      <c r="R196" s="300" t="str">
        <f t="shared" ca="1" si="32"/>
        <v/>
      </c>
      <c r="S196" s="304"/>
      <c r="T196" s="144"/>
      <c r="U196" s="206">
        <f ca="1">IF(OR(AC$8=0,SUM(Z197:AC197)=0),1,IF(L196="l","",SUM(AB197:AC197)))</f>
        <v>1</v>
      </c>
      <c r="V196" s="385"/>
      <c r="W196" s="50"/>
    </row>
    <row r="197" spans="3:29" ht="15" customHeight="1" x14ac:dyDescent="0.15">
      <c r="C197" s="186"/>
      <c r="D197" s="205"/>
      <c r="E197" s="188"/>
      <c r="F197" s="226"/>
      <c r="G197" s="296" t="str">
        <f ca="1">IF(L197="b","",IF(L197="l",0,FIXED(F197,K197,0)&amp;M197))</f>
        <v/>
      </c>
      <c r="H197" s="187"/>
      <c r="I197" s="189"/>
      <c r="K197" s="215"/>
      <c r="L197" t="str">
        <f t="shared" ca="1" si="30"/>
        <v>b</v>
      </c>
      <c r="M197" t="str">
        <f>REPT(" ",3-K197)&amp;IF(K197=0," ","")</f>
        <v xml:space="preserve">    </v>
      </c>
      <c r="O197" s="194"/>
      <c r="P197" s="208">
        <f>IF(ISNUMBER(D197),LOOKUP(D197,$AB$5:$AC$7),D197)</f>
        <v>0</v>
      </c>
      <c r="Q197" s="208">
        <f t="shared" si="31"/>
        <v>0</v>
      </c>
      <c r="R197" s="301" t="str">
        <f t="shared" ca="1" si="32"/>
        <v/>
      </c>
      <c r="S197" s="305">
        <f>H197</f>
        <v>0</v>
      </c>
      <c r="T197" s="145"/>
      <c r="U197" s="216">
        <f ca="1">IF(L197="l","",IF(D197+F197&gt;0,SUM(Z197:AA197),-1))</f>
        <v>-1</v>
      </c>
      <c r="V197" s="386"/>
      <c r="W197" s="107"/>
      <c r="Z197" s="114">
        <f>IF(D197&gt;0,0,TRUNC(F197*T197+Y197*X197))</f>
        <v>0</v>
      </c>
      <c r="AA197" t="b">
        <f>IF($D197=1,SUM(Z$13:Z195)-SUM(AA$13:AA195),IF($D197=2,$AA$6,IF($D197=3,TRUNC($AA$6,-3))))</f>
        <v>0</v>
      </c>
      <c r="AB197">
        <f ca="1">IF(OR(AC$8=0,L196="l",D197&gt;0,U197=-1),0,IF(L196="b",-U197,TRUNC(F196*T197)))</f>
        <v>0</v>
      </c>
      <c r="AC197" t="b">
        <f>IF($D197=1,SUM(AB$13:AB195)-SUM(AC$13:AC195),IF($D197=2,$AA$5,IF($D197=3,TRUNC($AA$5,-3))))</f>
        <v>0</v>
      </c>
    </row>
    <row r="198" spans="3:29" ht="15" customHeight="1" x14ac:dyDescent="0.15">
      <c r="C198" s="182"/>
      <c r="D198" s="210"/>
      <c r="E198" s="184"/>
      <c r="F198" s="225"/>
      <c r="G198" s="297" t="str">
        <f ca="1">IF(OR(AC$8=0,L198="b"),"",IF(L198="l",0,"("&amp;FIXED(-F198,K199,0)&amp;M198))</f>
        <v/>
      </c>
      <c r="H198" s="183"/>
      <c r="I198" s="185"/>
      <c r="L198" t="str">
        <f t="shared" ca="1" si="30"/>
        <v>b</v>
      </c>
      <c r="M198" t="str">
        <f>")"&amp;REPT(" ",2-K199)&amp;IF(K199=0," ","")</f>
        <v xml:space="preserve">)   </v>
      </c>
      <c r="O198" s="194"/>
      <c r="P198" s="207">
        <f>D198</f>
        <v>0</v>
      </c>
      <c r="Q198" s="207">
        <f t="shared" si="31"/>
        <v>0</v>
      </c>
      <c r="R198" s="300" t="str">
        <f t="shared" ca="1" si="32"/>
        <v/>
      </c>
      <c r="S198" s="304"/>
      <c r="T198" s="144"/>
      <c r="U198" s="206">
        <f ca="1">IF(OR(AC$8=0,SUM(Z199:AC199)=0),1,IF(L198="l","",SUM(AB199:AC199)))</f>
        <v>1</v>
      </c>
      <c r="V198" s="385"/>
      <c r="W198" s="50"/>
    </row>
    <row r="199" spans="3:29" ht="15" customHeight="1" x14ac:dyDescent="0.15">
      <c r="C199" s="186"/>
      <c r="D199" s="205"/>
      <c r="E199" s="188"/>
      <c r="F199" s="226"/>
      <c r="G199" s="296" t="str">
        <f ca="1">IF(L199="b","",IF(L199="l",0,FIXED(F199,K199,0)&amp;M199))</f>
        <v/>
      </c>
      <c r="H199" s="187"/>
      <c r="I199" s="189"/>
      <c r="K199" s="215"/>
      <c r="L199" t="str">
        <f t="shared" ca="1" si="30"/>
        <v>b</v>
      </c>
      <c r="M199" t="str">
        <f>REPT(" ",3-K199)&amp;IF(K199=0," ","")</f>
        <v xml:space="preserve">    </v>
      </c>
      <c r="O199" s="194"/>
      <c r="P199" s="208">
        <f>IF(ISNUMBER(D199),LOOKUP(D199,$AB$5:$AC$7),D199)</f>
        <v>0</v>
      </c>
      <c r="Q199" s="208">
        <f t="shared" si="31"/>
        <v>0</v>
      </c>
      <c r="R199" s="301" t="str">
        <f t="shared" ca="1" si="32"/>
        <v/>
      </c>
      <c r="S199" s="305">
        <f>H199</f>
        <v>0</v>
      </c>
      <c r="T199" s="145"/>
      <c r="U199" s="216">
        <f ca="1">IF(L199="l","",IF(D199+F199&gt;0,SUM(Z199:AA199),-1))</f>
        <v>-1</v>
      </c>
      <c r="V199" s="386"/>
      <c r="W199" s="107"/>
      <c r="Z199" s="114">
        <f>IF(D199&gt;0,0,TRUNC(F199*T199+Y199*X199))</f>
        <v>0</v>
      </c>
      <c r="AA199" t="b">
        <f>IF($D199=1,SUM(Z$13:Z197)-SUM(AA$13:AA197),IF($D199=2,$AA$6,IF($D199=3,TRUNC($AA$6,-3))))</f>
        <v>0</v>
      </c>
      <c r="AB199">
        <f ca="1">IF(OR(AC$8=0,L198="l",D199&gt;0,U199=-1),0,IF(L198="b",-U199,TRUNC(F198*T199)))</f>
        <v>0</v>
      </c>
      <c r="AC199" t="b">
        <f>IF($D199=1,SUM(AB$13:AB197)-SUM(AC$13:AC197),IF($D199=2,$AA$5,IF($D199=3,TRUNC($AA$5,-3))))</f>
        <v>0</v>
      </c>
    </row>
    <row r="200" spans="3:29" ht="15" customHeight="1" x14ac:dyDescent="0.15">
      <c r="C200" s="182"/>
      <c r="D200" s="210"/>
      <c r="E200" s="184"/>
      <c r="F200" s="225"/>
      <c r="G200" s="297" t="str">
        <f ca="1">IF(OR(AC$8=0,L200="b"),"",IF(L200="l",0,"("&amp;FIXED(-F200,K201,0)&amp;M200))</f>
        <v/>
      </c>
      <c r="H200" s="183"/>
      <c r="I200" s="185"/>
      <c r="L200" t="str">
        <f t="shared" ca="1" si="30"/>
        <v>b</v>
      </c>
      <c r="M200" t="str">
        <f>")"&amp;REPT(" ",2-K201)&amp;IF(K201=0," ","")</f>
        <v xml:space="preserve">)   </v>
      </c>
      <c r="O200" s="194"/>
      <c r="P200" s="207">
        <f>D200</f>
        <v>0</v>
      </c>
      <c r="Q200" s="207">
        <f t="shared" si="31"/>
        <v>0</v>
      </c>
      <c r="R200" s="300" t="str">
        <f t="shared" ca="1" si="32"/>
        <v/>
      </c>
      <c r="S200" s="304"/>
      <c r="T200" s="144"/>
      <c r="U200" s="206">
        <f ca="1">IF(OR(AC$8=0,SUM(Z201:AC201)=0),1,IF(L200="l","",SUM(AB201:AC201)))</f>
        <v>1</v>
      </c>
      <c r="V200" s="385"/>
      <c r="W200" s="50"/>
    </row>
    <row r="201" spans="3:29" ht="15" customHeight="1" x14ac:dyDescent="0.15">
      <c r="C201" s="186"/>
      <c r="D201" s="205"/>
      <c r="E201" s="188"/>
      <c r="F201" s="226"/>
      <c r="G201" s="296" t="str">
        <f ca="1">IF(L201="b","",IF(L201="l",0,FIXED(F201,K201,0)&amp;M201))</f>
        <v/>
      </c>
      <c r="H201" s="187"/>
      <c r="I201" s="189"/>
      <c r="K201" s="215"/>
      <c r="L201" t="str">
        <f t="shared" ca="1" si="30"/>
        <v>b</v>
      </c>
      <c r="M201" t="str">
        <f>REPT(" ",3-K201)&amp;IF(K201=0," ","")</f>
        <v xml:space="preserve">    </v>
      </c>
      <c r="O201" s="194"/>
      <c r="P201" s="208">
        <f>IF(ISNUMBER(D201),LOOKUP(D201,$AB$5:$AC$7),D201)</f>
        <v>0</v>
      </c>
      <c r="Q201" s="208">
        <f t="shared" si="31"/>
        <v>0</v>
      </c>
      <c r="R201" s="301" t="str">
        <f t="shared" ca="1" si="32"/>
        <v/>
      </c>
      <c r="S201" s="305">
        <f>H201</f>
        <v>0</v>
      </c>
      <c r="T201" s="145"/>
      <c r="U201" s="216">
        <f ca="1">IF(L201="l","",IF(D201+F201&gt;0,SUM(Z201:AA201),-1))</f>
        <v>-1</v>
      </c>
      <c r="V201" s="386"/>
      <c r="W201" s="107"/>
      <c r="Z201" s="114">
        <f>IF(D201&gt;0,0,TRUNC(F201*T201+Y201*X201))</f>
        <v>0</v>
      </c>
      <c r="AA201" t="b">
        <f>IF($D201=1,SUM(Z$13:Z199)-SUM(AA$13:AA199),IF($D201=2,$AA$6,IF($D201=3,TRUNC($AA$6,-3))))</f>
        <v>0</v>
      </c>
      <c r="AB201">
        <f ca="1">IF(OR(AC$8=0,L200="l",D201&gt;0,U201=-1),0,IF(L200="b",-U201,TRUNC(F200*T201)))</f>
        <v>0</v>
      </c>
      <c r="AC201" t="b">
        <f>IF($D201=1,SUM(AB$13:AB199)-SUM(AC$13:AC199),IF($D201=2,$AA$5,IF($D201=3,TRUNC($AA$5,-3))))</f>
        <v>0</v>
      </c>
    </row>
    <row r="202" spans="3:29" ht="15" customHeight="1" x14ac:dyDescent="0.15">
      <c r="C202" s="182"/>
      <c r="D202" s="210"/>
      <c r="E202" s="184"/>
      <c r="F202" s="225"/>
      <c r="G202" s="297" t="str">
        <f ca="1">IF(OR(AC$8=0,L202="b"),"",IF(L202="l",0,"("&amp;FIXED(-F202,K203,0)&amp;M202))</f>
        <v/>
      </c>
      <c r="H202" s="183"/>
      <c r="I202" s="185"/>
      <c r="L202" t="str">
        <f t="shared" ca="1" si="30"/>
        <v>b</v>
      </c>
      <c r="M202" t="str">
        <f>")"&amp;REPT(" ",2-K203)&amp;IF(K203=0," ","")</f>
        <v xml:space="preserve">)   </v>
      </c>
      <c r="O202" s="194"/>
      <c r="P202" s="207">
        <f>D202</f>
        <v>0</v>
      </c>
      <c r="Q202" s="207">
        <f t="shared" si="31"/>
        <v>0</v>
      </c>
      <c r="R202" s="300" t="str">
        <f t="shared" ca="1" si="32"/>
        <v/>
      </c>
      <c r="S202" s="304"/>
      <c r="T202" s="144"/>
      <c r="U202" s="206">
        <f ca="1">IF(OR(AC$8=0,SUM(Z203:AC203)=0),1,IF(L202="l","",SUM(AB203:AC203)))</f>
        <v>1</v>
      </c>
      <c r="V202" s="385"/>
      <c r="W202" s="50"/>
    </row>
    <row r="203" spans="3:29" ht="15" customHeight="1" x14ac:dyDescent="0.15">
      <c r="C203" s="186"/>
      <c r="D203" s="205"/>
      <c r="E203" s="188"/>
      <c r="F203" s="226"/>
      <c r="G203" s="296" t="str">
        <f ca="1">IF(L203="b","",IF(L203="l",0,FIXED(F203,K203,0)&amp;M203))</f>
        <v/>
      </c>
      <c r="H203" s="187"/>
      <c r="I203" s="189"/>
      <c r="K203" s="215"/>
      <c r="L203" t="str">
        <f t="shared" ca="1" si="30"/>
        <v>b</v>
      </c>
      <c r="M203" t="str">
        <f>REPT(" ",3-K203)&amp;IF(K203=0," ","")</f>
        <v xml:space="preserve">    </v>
      </c>
      <c r="O203" s="194"/>
      <c r="P203" s="208">
        <f>IF(ISNUMBER(D203),LOOKUP(D203,$AB$5:$AC$7),D203)</f>
        <v>0</v>
      </c>
      <c r="Q203" s="208">
        <f t="shared" si="31"/>
        <v>0</v>
      </c>
      <c r="R203" s="301" t="str">
        <f t="shared" ca="1" si="32"/>
        <v/>
      </c>
      <c r="S203" s="305">
        <f>H203</f>
        <v>0</v>
      </c>
      <c r="T203" s="145"/>
      <c r="U203" s="216">
        <f ca="1">IF(L203="l","",IF(D203+F203&gt;0,SUM(Z203:AA203),-1))</f>
        <v>-1</v>
      </c>
      <c r="V203" s="386"/>
      <c r="W203" s="107"/>
      <c r="Z203" s="114">
        <f>IF(D203&gt;0,0,TRUNC(F203*T203+Y203*X203))</f>
        <v>0</v>
      </c>
      <c r="AA203" t="b">
        <f>IF($D203=1,SUM(Z$13:Z201)-SUM(AA$13:AA201),IF($D203=2,$AA$6,IF($D203=3,TRUNC($AA$6,-3))))</f>
        <v>0</v>
      </c>
      <c r="AB203">
        <f ca="1">IF(OR(AC$8=0,L202="l",D203&gt;0,U203=-1),0,IF(L202="b",-U203,TRUNC(F202*T203)))</f>
        <v>0</v>
      </c>
      <c r="AC203" t="b">
        <f>IF($D203=1,SUM(AB$13:AB201)-SUM(AC$13:AC201),IF($D203=2,$AA$5,IF($D203=3,TRUNC($AA$5,-3))))</f>
        <v>0</v>
      </c>
    </row>
    <row r="204" spans="3:29" ht="15" customHeight="1" x14ac:dyDescent="0.15">
      <c r="C204" s="182"/>
      <c r="D204" s="210"/>
      <c r="E204" s="184"/>
      <c r="F204" s="225"/>
      <c r="G204" s="297" t="str">
        <f ca="1">IF(OR(AC$8=0,L204="b"),"",IF(L204="l",0,"("&amp;FIXED(-F204,K205,0)&amp;M204))</f>
        <v/>
      </c>
      <c r="H204" s="183"/>
      <c r="I204" s="185"/>
      <c r="L204" t="str">
        <f t="shared" ca="1" si="30"/>
        <v>b</v>
      </c>
      <c r="M204" t="str">
        <f>")"&amp;REPT(" ",2-K205)&amp;IF(K205=0," ","")</f>
        <v xml:space="preserve">)   </v>
      </c>
      <c r="O204" s="194"/>
      <c r="P204" s="207">
        <f>D204</f>
        <v>0</v>
      </c>
      <c r="Q204" s="207">
        <f t="shared" si="31"/>
        <v>0</v>
      </c>
      <c r="R204" s="300" t="str">
        <f t="shared" ca="1" si="32"/>
        <v/>
      </c>
      <c r="S204" s="304"/>
      <c r="T204" s="144"/>
      <c r="U204" s="206">
        <f ca="1">IF(OR(AC$8=0,SUM(Z205:AC205)=0),1,IF(L204="l","",SUM(AB205:AC205)))</f>
        <v>1</v>
      </c>
      <c r="V204" s="385"/>
      <c r="W204" s="50"/>
    </row>
    <row r="205" spans="3:29" ht="15" customHeight="1" x14ac:dyDescent="0.15">
      <c r="C205" s="186"/>
      <c r="D205" s="205"/>
      <c r="E205" s="188"/>
      <c r="F205" s="226"/>
      <c r="G205" s="296" t="str">
        <f ca="1">IF(L205="b","",IF(L205="l",0,FIXED(F205,K205,0)&amp;M205))</f>
        <v/>
      </c>
      <c r="H205" s="187"/>
      <c r="I205" s="189"/>
      <c r="K205" s="215"/>
      <c r="L205" t="str">
        <f t="shared" ca="1" si="30"/>
        <v>b</v>
      </c>
      <c r="M205" t="str">
        <f>REPT(" ",3-K205)&amp;IF(K205=0," ","")</f>
        <v xml:space="preserve">    </v>
      </c>
      <c r="O205" s="194"/>
      <c r="P205" s="208">
        <f>IF(ISNUMBER(D205),LOOKUP(D205,$AB$5:$AC$7),D205)</f>
        <v>0</v>
      </c>
      <c r="Q205" s="208">
        <f t="shared" si="31"/>
        <v>0</v>
      </c>
      <c r="R205" s="301" t="str">
        <f t="shared" ca="1" si="32"/>
        <v/>
      </c>
      <c r="S205" s="305">
        <f>H205</f>
        <v>0</v>
      </c>
      <c r="T205" s="145"/>
      <c r="U205" s="216">
        <f ca="1">IF(L205="l","",IF(D205+F205&gt;0,SUM(Z205:AA205),-1))</f>
        <v>-1</v>
      </c>
      <c r="V205" s="386"/>
      <c r="W205" s="107"/>
      <c r="Z205" s="114">
        <f>IF(D205&gt;0,0,TRUNC(F205*T205+Y205*X205))</f>
        <v>0</v>
      </c>
      <c r="AA205" t="b">
        <f>IF($D205=1,SUM(Z$13:Z203)-SUM(AA$13:AA203),IF($D205=2,$AA$6,IF($D205=3,TRUNC($AA$6,-3))))</f>
        <v>0</v>
      </c>
      <c r="AB205">
        <f ca="1">IF(OR(AC$8=0,L204="l",D205&gt;0,U205=-1),0,IF(L204="b",-U205,TRUNC(F204*T205)))</f>
        <v>0</v>
      </c>
      <c r="AC205" t="b">
        <f>IF($D205=1,SUM(AB$13:AB203)-SUM(AC$13:AC203),IF($D205=2,$AA$5,IF($D205=3,TRUNC($AA$5,-3))))</f>
        <v>0</v>
      </c>
    </row>
    <row r="206" spans="3:29" ht="15" customHeight="1" x14ac:dyDescent="0.15">
      <c r="C206" s="182"/>
      <c r="D206" s="210"/>
      <c r="E206" s="184"/>
      <c r="F206" s="225"/>
      <c r="G206" s="297" t="str">
        <f ca="1">IF(OR(AC$8=0,L206="b"),"",IF(L206="l",0,"("&amp;FIXED(-F206,K207,0)&amp;M206))</f>
        <v/>
      </c>
      <c r="H206" s="183"/>
      <c r="I206" s="185"/>
      <c r="L206" t="str">
        <f t="shared" ca="1" si="30"/>
        <v>b</v>
      </c>
      <c r="M206" t="str">
        <f>")"&amp;REPT(" ",2-K207)&amp;IF(K207=0," ","")</f>
        <v xml:space="preserve">)   </v>
      </c>
      <c r="O206" s="194"/>
      <c r="P206" s="207">
        <f>D206</f>
        <v>0</v>
      </c>
      <c r="Q206" s="207">
        <f t="shared" si="31"/>
        <v>0</v>
      </c>
      <c r="R206" s="300" t="str">
        <f t="shared" ca="1" si="32"/>
        <v/>
      </c>
      <c r="S206" s="304"/>
      <c r="T206" s="144"/>
      <c r="U206" s="206">
        <f ca="1">IF(OR(AC$8=0,SUM(Z207:AC207)=0),1,IF(L206="l","",SUM(AB207:AC207)))</f>
        <v>1</v>
      </c>
      <c r="V206" s="385"/>
      <c r="W206" s="50"/>
    </row>
    <row r="207" spans="3:29" ht="15" customHeight="1" x14ac:dyDescent="0.15">
      <c r="C207" s="186"/>
      <c r="D207" s="205"/>
      <c r="E207" s="188"/>
      <c r="F207" s="226"/>
      <c r="G207" s="296" t="str">
        <f ca="1">IF(L207="b","",IF(L207="l",0,FIXED(F207,K207,0)&amp;M207))</f>
        <v/>
      </c>
      <c r="H207" s="187"/>
      <c r="I207" s="189"/>
      <c r="K207" s="215"/>
      <c r="L207" t="str">
        <f t="shared" ca="1" si="30"/>
        <v>b</v>
      </c>
      <c r="M207" t="str">
        <f>REPT(" ",3-K207)&amp;IF(K207=0," ","")</f>
        <v xml:space="preserve">    </v>
      </c>
      <c r="O207" s="194"/>
      <c r="P207" s="208">
        <f>IF(ISNUMBER(D207),LOOKUP(D207,$AB$5:$AC$7),D207)</f>
        <v>0</v>
      </c>
      <c r="Q207" s="208">
        <f t="shared" si="31"/>
        <v>0</v>
      </c>
      <c r="R207" s="301" t="str">
        <f t="shared" ca="1" si="32"/>
        <v/>
      </c>
      <c r="S207" s="305">
        <f>H207</f>
        <v>0</v>
      </c>
      <c r="T207" s="145"/>
      <c r="U207" s="216">
        <f ca="1">IF(L207="l","",IF(D207+F207&gt;0,SUM(Z207:AA207),-1))</f>
        <v>-1</v>
      </c>
      <c r="V207" s="386"/>
      <c r="W207" s="107"/>
      <c r="Z207" s="114">
        <f>IF(D207&gt;0,0,TRUNC(F207*T207+Y207*X207))</f>
        <v>0</v>
      </c>
      <c r="AA207" t="b">
        <f>IF($D207=1,SUM(Z$13:Z205)-SUM(AA$13:AA205),IF($D207=2,$AA$6,IF($D207=3,TRUNC($AA$6,-3))))</f>
        <v>0</v>
      </c>
      <c r="AB207">
        <f ca="1">IF(OR(AC$8=0,L206="l",D207&gt;0,U207=-1),0,IF(L206="b",-U207,TRUNC(F206*T207)))</f>
        <v>0</v>
      </c>
      <c r="AC207" t="b">
        <f>IF($D207=1,SUM(AB$13:AB205)-SUM(AC$13:AC205),IF($D207=2,$AA$5,IF($D207=3,TRUNC($AA$5,-3))))</f>
        <v>0</v>
      </c>
    </row>
    <row r="208" spans="3:29" ht="15" customHeight="1" x14ac:dyDescent="0.15">
      <c r="C208" s="182"/>
      <c r="D208" s="210"/>
      <c r="E208" s="184"/>
      <c r="F208" s="225"/>
      <c r="G208" s="297" t="str">
        <f ca="1">IF(OR(AC$8=0,L208="b"),"",IF(L208="l",0,"("&amp;FIXED(-F208,K209,0)&amp;M208))</f>
        <v/>
      </c>
      <c r="H208" s="183"/>
      <c r="I208" s="185"/>
      <c r="L208" t="str">
        <f t="shared" ca="1" si="30"/>
        <v>b</v>
      </c>
      <c r="M208" t="str">
        <f>")"&amp;REPT(" ",2-K209)&amp;IF(K209=0," ","")</f>
        <v xml:space="preserve">)   </v>
      </c>
      <c r="O208" s="182"/>
      <c r="P208" s="207">
        <f>D208</f>
        <v>0</v>
      </c>
      <c r="Q208" s="207">
        <f t="shared" si="31"/>
        <v>0</v>
      </c>
      <c r="R208" s="300" t="str">
        <f t="shared" ca="1" si="32"/>
        <v/>
      </c>
      <c r="S208" s="304"/>
      <c r="T208" s="144"/>
      <c r="U208" s="206">
        <f ca="1">IF(OR(AC$8=0,SUM(Z209:AC209)=0),1,IF(L208="l","",SUM(AB209:AC209)))</f>
        <v>1</v>
      </c>
      <c r="V208" s="385"/>
      <c r="W208" s="50"/>
    </row>
    <row r="209" spans="3:29" ht="15" customHeight="1" x14ac:dyDescent="0.15">
      <c r="C209" s="186"/>
      <c r="D209" s="205"/>
      <c r="E209" s="188"/>
      <c r="F209" s="226"/>
      <c r="G209" s="296" t="str">
        <f ca="1">IF(L209="b","",IF(L209="l",0,FIXED(F209,K209,0)&amp;M209))</f>
        <v/>
      </c>
      <c r="H209" s="187"/>
      <c r="I209" s="189"/>
      <c r="K209" s="215"/>
      <c r="L209" t="str">
        <f t="shared" ca="1" si="30"/>
        <v>b</v>
      </c>
      <c r="M209" t="str">
        <f>REPT(" ",3-K209)&amp;IF(K209=0," ","")</f>
        <v xml:space="preserve">    </v>
      </c>
      <c r="O209" s="182"/>
      <c r="P209" s="208">
        <f>IF(ISNUMBER(D209),LOOKUP(D209,$AB$5:$AC$7),D209)</f>
        <v>0</v>
      </c>
      <c r="Q209" s="208">
        <f t="shared" si="31"/>
        <v>0</v>
      </c>
      <c r="R209" s="301" t="str">
        <f t="shared" ca="1" si="32"/>
        <v/>
      </c>
      <c r="S209" s="305">
        <f>H209</f>
        <v>0</v>
      </c>
      <c r="T209" s="145"/>
      <c r="U209" s="216">
        <f ca="1">IF(L209="l","",IF(D209+F209&gt;0,SUM(Z209:AA209),-1))</f>
        <v>-1</v>
      </c>
      <c r="V209" s="386"/>
      <c r="W209" s="107"/>
      <c r="Z209" s="114">
        <f>IF(D209&gt;0,0,TRUNC(F209*T209+Y209*X209))</f>
        <v>0</v>
      </c>
      <c r="AA209" t="b">
        <f>IF($D209=1,SUM(Z$13:Z207)-SUM(AA$13:AA207),IF($D209=2,$AA$6,IF($D209=3,TRUNC($AA$6,-3))))</f>
        <v>0</v>
      </c>
      <c r="AB209">
        <f ca="1">IF(OR(AC$8=0,L208="l",D209&gt;0,U209=-1),0,IF(L208="b",-U209,TRUNC(F208*T209)))</f>
        <v>0</v>
      </c>
      <c r="AC209" t="b">
        <f>IF($D209=1,SUM(AB$13:AB207)-SUM(AC$13:AC207),IF($D209=2,$AA$5,IF($D209=3,TRUNC($AA$5,-3))))</f>
        <v>0</v>
      </c>
    </row>
    <row r="210" spans="3:29" ht="15" customHeight="1" x14ac:dyDescent="0.15">
      <c r="C210" s="182"/>
      <c r="D210" s="210"/>
      <c r="E210" s="184"/>
      <c r="F210" s="227"/>
      <c r="G210" s="297" t="str">
        <f ca="1">IF(OR(AC$8=0,L210="b"),"",IF(L210="l",0,"("&amp;FIXED(-F210,K211,0)&amp;M210))</f>
        <v/>
      </c>
      <c r="H210" s="183"/>
      <c r="I210" s="185"/>
      <c r="L210" t="str">
        <f t="shared" ca="1" si="30"/>
        <v>b</v>
      </c>
      <c r="M210" t="str">
        <f>")"&amp;REPT(" ",2-K211)&amp;IF(K211=0," ","")</f>
        <v xml:space="preserve">)   </v>
      </c>
      <c r="O210" s="182"/>
      <c r="P210" s="207">
        <f>D210</f>
        <v>0</v>
      </c>
      <c r="Q210" s="207">
        <f t="shared" si="31"/>
        <v>0</v>
      </c>
      <c r="R210" s="300" t="str">
        <f t="shared" ca="1" si="32"/>
        <v/>
      </c>
      <c r="S210" s="304"/>
      <c r="T210" s="144"/>
      <c r="U210" s="206">
        <f ca="1">IF(OR(AC$8=0,SUM(Z211:AC211)=0),1,IF(L210="l","",SUM(AB211:AC211)))</f>
        <v>1</v>
      </c>
      <c r="V210" s="385"/>
      <c r="W210" s="50"/>
    </row>
    <row r="211" spans="3:29" ht="15" customHeight="1" x14ac:dyDescent="0.15">
      <c r="C211" s="186"/>
      <c r="D211" s="205"/>
      <c r="E211" s="188"/>
      <c r="F211" s="226"/>
      <c r="G211" s="296" t="str">
        <f ca="1">IF(L211="b","",IF(L211="l",0,FIXED(F211,K211,0)&amp;M211))</f>
        <v/>
      </c>
      <c r="H211" s="187"/>
      <c r="I211" s="189"/>
      <c r="K211" s="215"/>
      <c r="L211" t="str">
        <f t="shared" ca="1" si="30"/>
        <v>b</v>
      </c>
      <c r="M211" t="str">
        <f>REPT(" ",3-K211)&amp;IF(K211=0," ","")</f>
        <v xml:space="preserve">    </v>
      </c>
      <c r="O211" s="182"/>
      <c r="P211" s="208">
        <f>IF(ISNUMBER(D211),LOOKUP(D211,$AB$5:$AC$7),D211)</f>
        <v>0</v>
      </c>
      <c r="Q211" s="208">
        <f t="shared" si="31"/>
        <v>0</v>
      </c>
      <c r="R211" s="301" t="str">
        <f t="shared" ca="1" si="32"/>
        <v/>
      </c>
      <c r="S211" s="305">
        <f>H211</f>
        <v>0</v>
      </c>
      <c r="T211" s="145"/>
      <c r="U211" s="216">
        <f ca="1">IF(L211="l","",IF(D211+F211&gt;0,SUM(Z211:AA211),-1))</f>
        <v>-1</v>
      </c>
      <c r="V211" s="386"/>
      <c r="W211" s="107"/>
      <c r="Z211" s="114">
        <f>IF(D211&gt;0,0,TRUNC(F211*T211+Y211*X211))</f>
        <v>0</v>
      </c>
      <c r="AA211" t="b">
        <f>IF($D211=1,SUM(Z$13:Z209)-SUM(AA$13:AA209),IF($D211=2,$AA$6,IF($D211=3,TRUNC($AA$6,-3))))</f>
        <v>0</v>
      </c>
      <c r="AB211">
        <f ca="1">IF(OR(AC$8=0,L210="l",D211&gt;0,U211=-1),0,IF(L210="b",-U211,TRUNC(F210*T211)))</f>
        <v>0</v>
      </c>
      <c r="AC211" t="b">
        <f>IF($D211=1,SUM(AB$13:AB209)-SUM(AC$13:AC209),IF($D211=2,$AA$5,IF($D211=3,TRUNC($AA$5,-3))))</f>
        <v>0</v>
      </c>
    </row>
    <row r="212" spans="3:29" ht="15" customHeight="1" x14ac:dyDescent="0.15">
      <c r="C212" s="182"/>
      <c r="D212" s="210"/>
      <c r="E212" s="184"/>
      <c r="F212" s="227"/>
      <c r="G212" s="297" t="str">
        <f ca="1">IF(OR(AC$8=0,L212="b"),"",IF(L212="l",0,"("&amp;FIXED(-F212,K213,0)&amp;M212))</f>
        <v/>
      </c>
      <c r="H212" s="183"/>
      <c r="I212" s="185"/>
      <c r="L212" t="str">
        <f t="shared" ca="1" si="30"/>
        <v>b</v>
      </c>
      <c r="M212" t="str">
        <f>")"&amp;REPT(" ",2-K213)&amp;IF(K213=0," ","")</f>
        <v xml:space="preserve">)   </v>
      </c>
      <c r="O212" s="182"/>
      <c r="P212" s="207">
        <f>D212</f>
        <v>0</v>
      </c>
      <c r="Q212" s="207">
        <f t="shared" si="31"/>
        <v>0</v>
      </c>
      <c r="R212" s="300" t="str">
        <f t="shared" ca="1" si="32"/>
        <v/>
      </c>
      <c r="S212" s="304"/>
      <c r="T212" s="144"/>
      <c r="U212" s="206">
        <f ca="1">IF(OR(AC$8=0,SUM(Z213:AC213)=0),1,IF(L212="l","",SUM(AB213:AC213)))</f>
        <v>1</v>
      </c>
      <c r="V212" s="385"/>
      <c r="W212" s="50"/>
    </row>
    <row r="213" spans="3:29" ht="15" customHeight="1" thickBot="1" x14ac:dyDescent="0.2">
      <c r="C213" s="190"/>
      <c r="D213" s="211"/>
      <c r="E213" s="192"/>
      <c r="F213" s="228"/>
      <c r="G213" s="299" t="str">
        <f ca="1">IF(L213="b","",IF(L213="l",0,FIXED(F213,K213,0)&amp;M213))</f>
        <v/>
      </c>
      <c r="H213" s="191"/>
      <c r="I213" s="193"/>
      <c r="K213" s="215"/>
      <c r="L213" t="str">
        <f t="shared" ca="1" si="30"/>
        <v>b</v>
      </c>
      <c r="M213" t="str">
        <f>REPT(" ",3-K213)&amp;IF(K213=0," ","")</f>
        <v xml:space="preserve">    </v>
      </c>
      <c r="O213" s="190"/>
      <c r="P213" s="209">
        <f>IF(ISNUMBER(D213),LOOKUP(D213,$AB$5:$AC$7),D213)</f>
        <v>0</v>
      </c>
      <c r="Q213" s="209">
        <f t="shared" si="31"/>
        <v>0</v>
      </c>
      <c r="R213" s="302" t="str">
        <f t="shared" ca="1" si="32"/>
        <v/>
      </c>
      <c r="S213" s="306">
        <f>H213</f>
        <v>0</v>
      </c>
      <c r="T213" s="146"/>
      <c r="U213" s="217">
        <f ca="1">IF(L213="l","",IF(D213+F213&gt;0,SUM(Z213:AA213),-1))</f>
        <v>-1</v>
      </c>
      <c r="V213" s="389"/>
      <c r="W213" s="55"/>
      <c r="Z213" s="114">
        <f>IF(D213&gt;0,0,TRUNC(F213*T213+Y213*X213))</f>
        <v>0</v>
      </c>
      <c r="AA213" t="b">
        <f>IF($D213=1,SUM(Z$13:Z211)-SUM(AA$13:AA211),IF($D213=2,$AA$6,IF($D213=3,TRUNC($AA$6,-3))))</f>
        <v>0</v>
      </c>
      <c r="AB213">
        <f ca="1">IF(OR(AC$8=0,L212="l",D213&gt;0,U213=-1),0,IF(L212="b",-U213,TRUNC(F212*T213)))</f>
        <v>0</v>
      </c>
      <c r="AC213" t="b">
        <f>IF($D213=1,SUM(AB$13:AB211)-SUM(AC$13:AC211),IF($D213=2,$AA$5,IF($D213=3,TRUNC($AA$5,-3))))</f>
        <v>0</v>
      </c>
    </row>
  </sheetData>
  <mergeCells count="6">
    <mergeCell ref="O145:O147"/>
    <mergeCell ref="V145:V147"/>
    <mergeCell ref="V9:V11"/>
    <mergeCell ref="O9:O11"/>
    <mergeCell ref="O75:O77"/>
    <mergeCell ref="V75:V77"/>
  </mergeCells>
  <phoneticPr fontId="12"/>
  <conditionalFormatting sqref="O169 O165 O177 O193 O71 O167 O191 O181 O205 O189 O150:O163 O207 O171 O179 O175 O107:O118 O91 O173 O183 O185 O187 O195:O196 O199:O201 O105 O96:O103 O126:O136 O93 O73 O203 O66 O68 O82 O84 O86:O89 O60:O63 O49:O58 O47">
    <cfRule type="expression" dxfId="31" priority="8" stopIfTrue="1">
      <formula>D47=1</formula>
    </cfRule>
  </conditionalFormatting>
  <conditionalFormatting sqref="O43">
    <cfRule type="expression" dxfId="30" priority="7" stopIfTrue="1">
      <formula>D43=1</formula>
    </cfRule>
  </conditionalFormatting>
  <conditionalFormatting sqref="O47">
    <cfRule type="expression" dxfId="29" priority="6" stopIfTrue="1">
      <formula>D47=1</formula>
    </cfRule>
  </conditionalFormatting>
  <conditionalFormatting sqref="O65">
    <cfRule type="expression" dxfId="28" priority="5" stopIfTrue="1">
      <formula>D65=1</formula>
    </cfRule>
  </conditionalFormatting>
  <conditionalFormatting sqref="O149">
    <cfRule type="expression" dxfId="27" priority="4" stopIfTrue="1">
      <formula>D149=1</formula>
    </cfRule>
  </conditionalFormatting>
  <conditionalFormatting sqref="O41">
    <cfRule type="expression" dxfId="26" priority="3" stopIfTrue="1">
      <formula>D41=1</formula>
    </cfRule>
  </conditionalFormatting>
  <conditionalFormatting sqref="O45">
    <cfRule type="expression" dxfId="25" priority="2" stopIfTrue="1">
      <formula>D45=1</formula>
    </cfRule>
  </conditionalFormatting>
  <conditionalFormatting sqref="O63">
    <cfRule type="expression" dxfId="24" priority="1" stopIfTrue="1">
      <formula>D63=1</formula>
    </cfRule>
  </conditionalFormatting>
  <dataValidations count="1">
    <dataValidation imeMode="off" showInputMessage="1" showErrorMessage="1" promptTitle="警告" prompt="計算式が設定されています_x000a_入力を続けますか?" sqref="G78:G143 G148:G213 G12:G73" xr:uid="{00000000-0002-0000-0E00-000000000000}"/>
  </dataValidations>
  <pageMargins left="0.70866141732283472" right="0.19685039370078741" top="0.78740157480314965" bottom="0.39370078740157483" header="0" footer="0"/>
  <pageSetup paperSize="9" scale="80"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ransitionEvaluation="1">
    <tabColor rgb="FF0000FF"/>
  </sheetPr>
  <dimension ref="A1:AD143"/>
  <sheetViews>
    <sheetView view="pageBreakPreview" topLeftCell="J1" zoomScaleNormal="90" zoomScaleSheetLayoutView="100" workbookViewId="0">
      <selection activeCell="B1" sqref="B1"/>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5.625" customWidth="1"/>
    <col min="18" max="18" width="12.125" customWidth="1"/>
    <col min="19" max="19" width="4.625" customWidth="1"/>
    <col min="20" max="20" width="10.625" customWidth="1"/>
    <col min="21" max="21" width="15.625" customWidth="1"/>
    <col min="22" max="22" width="8.625" customWidth="1"/>
    <col min="23" max="23" width="16.625" customWidth="1"/>
    <col min="24" max="24" width="9.125" bestFit="1" customWidth="1"/>
    <col min="25" max="25" width="9.125" customWidth="1"/>
    <col min="26" max="29" width="9.625" customWidth="1"/>
  </cols>
  <sheetData>
    <row r="1" spans="1:30" x14ac:dyDescent="0.15">
      <c r="D1" t="s">
        <v>307</v>
      </c>
      <c r="F1" t="s">
        <v>308</v>
      </c>
    </row>
    <row r="2" spans="1:30" x14ac:dyDescent="0.15">
      <c r="D2" t="s">
        <v>272</v>
      </c>
      <c r="F2" s="224" t="s">
        <v>267</v>
      </c>
    </row>
    <row r="3" spans="1:30" x14ac:dyDescent="0.15">
      <c r="D3" t="s">
        <v>274</v>
      </c>
      <c r="F3" s="224" t="s">
        <v>271</v>
      </c>
    </row>
    <row r="4" spans="1:30" ht="14.25" thickBot="1" x14ac:dyDescent="0.2">
      <c r="C4" t="s">
        <v>214</v>
      </c>
      <c r="D4" t="s">
        <v>273</v>
      </c>
      <c r="F4" s="224" t="s">
        <v>268</v>
      </c>
      <c r="O4" t="s">
        <v>214</v>
      </c>
      <c r="AC4" t="s">
        <v>89</v>
      </c>
    </row>
    <row r="5" spans="1:30" x14ac:dyDescent="0.15">
      <c r="B5" s="100" t="s">
        <v>364</v>
      </c>
      <c r="N5" t="s">
        <v>215</v>
      </c>
      <c r="O5" s="16"/>
      <c r="P5" s="17"/>
      <c r="Q5" s="17"/>
      <c r="R5" s="18"/>
      <c r="S5" s="17"/>
      <c r="T5" s="18"/>
      <c r="U5" s="18"/>
      <c r="V5" s="18"/>
      <c r="W5" s="19"/>
      <c r="Z5" s="100" t="s">
        <v>216</v>
      </c>
      <c r="AA5">
        <f ca="1">SUM(INDIRECT(AD$6))</f>
        <v>0</v>
      </c>
      <c r="AB5">
        <v>1</v>
      </c>
      <c r="AC5" t="s">
        <v>219</v>
      </c>
      <c r="AD5" t="s">
        <v>217</v>
      </c>
    </row>
    <row r="6" spans="1:30" ht="21" customHeight="1" x14ac:dyDescent="0.2">
      <c r="N6" s="284"/>
      <c r="O6" s="457" t="s">
        <v>366</v>
      </c>
      <c r="P6" s="25"/>
      <c r="Q6" s="25"/>
      <c r="R6" s="25"/>
      <c r="S6" s="25"/>
      <c r="T6" s="25"/>
      <c r="U6" s="25"/>
      <c r="V6" s="25"/>
      <c r="W6" s="26"/>
      <c r="Z6" s="100" t="s">
        <v>218</v>
      </c>
      <c r="AA6">
        <f ca="1">SUM(INDIRECT(AD$7))</f>
        <v>2334</v>
      </c>
      <c r="AB6">
        <v>2</v>
      </c>
      <c r="AC6" t="s">
        <v>104</v>
      </c>
      <c r="AD6" t="str">
        <f>"AB10..AB"&amp;FIXED(AA7,0,TRUE)</f>
        <v>AB10..AB73</v>
      </c>
    </row>
    <row r="7" spans="1:30" ht="18.75" x14ac:dyDescent="0.2">
      <c r="C7" s="456" t="s">
        <v>365</v>
      </c>
      <c r="D7" s="101"/>
      <c r="E7" s="101"/>
      <c r="F7" s="101"/>
      <c r="G7" s="101"/>
      <c r="H7" s="101"/>
      <c r="I7" s="101"/>
      <c r="N7" s="285"/>
      <c r="O7" s="283"/>
      <c r="P7" s="20"/>
      <c r="Q7" s="458" t="str">
        <f ca="1">IF(OR(AC8=0,TRUNC(AA5,-3)+TRUNC(AA6,-3)=0),"",TRUNC(AA5,-3))</f>
        <v/>
      </c>
      <c r="R7" s="21"/>
      <c r="S7" s="20"/>
      <c r="T7" s="21"/>
      <c r="U7" s="21"/>
      <c r="V7" s="21"/>
      <c r="W7" s="104"/>
      <c r="Z7" s="100" t="s">
        <v>221</v>
      </c>
      <c r="AA7" s="410">
        <v>73</v>
      </c>
      <c r="AB7">
        <v>3</v>
      </c>
      <c r="AC7" t="s">
        <v>230</v>
      </c>
      <c r="AD7" t="str">
        <f>"Z10..Z"&amp;FIXED(AA7,0,TRUE)</f>
        <v>Z10..Z73</v>
      </c>
    </row>
    <row r="8" spans="1:30" ht="18.75" customHeight="1" thickBot="1" x14ac:dyDescent="0.25">
      <c r="A8" t="b">
        <f>SUM(F13:F73)&gt;0</f>
        <v>1</v>
      </c>
      <c r="B8">
        <f ca="1">SUM(INDIRECT(AD8))</f>
        <v>1</v>
      </c>
      <c r="I8" s="111" t="str">
        <f ca="1">"( "&amp;FIXED(A8,0)&amp;" ／ "&amp;FIXED(B$8,0)&amp;" )"</f>
        <v>( 1 ／ 1 )</v>
      </c>
      <c r="N8" s="285"/>
      <c r="O8" s="283"/>
      <c r="P8" s="20"/>
      <c r="Q8" s="459">
        <f ca="1">TRUNC(AA6,-3)</f>
        <v>2000</v>
      </c>
      <c r="R8" s="21"/>
      <c r="S8" s="20"/>
      <c r="T8" s="21"/>
      <c r="U8" s="21"/>
      <c r="V8" s="21"/>
      <c r="W8" s="112" t="str">
        <f ca="1">I8</f>
        <v>( 1 ／ 1 )</v>
      </c>
      <c r="AC8">
        <f>鏡!H2-1</f>
        <v>0</v>
      </c>
      <c r="AD8" t="str">
        <f>"A5..A"&amp;FIXED(AA7,0,TRUE)</f>
        <v>A5..A73</v>
      </c>
    </row>
    <row r="9" spans="1:30" x14ac:dyDescent="0.15">
      <c r="C9" s="16"/>
      <c r="D9" s="102"/>
      <c r="E9" s="102"/>
      <c r="F9" s="18"/>
      <c r="G9" s="102"/>
      <c r="H9" s="102"/>
      <c r="I9" s="48"/>
      <c r="O9" s="756" t="s">
        <v>258</v>
      </c>
      <c r="P9" s="4"/>
      <c r="Q9" s="4"/>
      <c r="R9" s="5"/>
      <c r="S9" s="4"/>
      <c r="T9" s="14" t="s">
        <v>88</v>
      </c>
      <c r="U9" s="15"/>
      <c r="V9" s="755" t="s">
        <v>257</v>
      </c>
      <c r="W9" s="105"/>
    </row>
    <row r="10" spans="1:30"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Z10" t="str">
        <f>IF(AC8=0,"当初","出来高")</f>
        <v>当初</v>
      </c>
      <c r="AB10" t="s">
        <v>216</v>
      </c>
    </row>
    <row r="11" spans="1:30" ht="14.25" thickBot="1" x14ac:dyDescent="0.2">
      <c r="C11" s="71"/>
      <c r="D11" s="40"/>
      <c r="E11" s="40"/>
      <c r="F11" s="36"/>
      <c r="G11" s="40"/>
      <c r="H11" s="40"/>
      <c r="I11" s="52"/>
      <c r="K11" s="1" t="s">
        <v>259</v>
      </c>
      <c r="O11" s="758"/>
      <c r="P11" s="39"/>
      <c r="Q11" s="39"/>
      <c r="R11" s="40"/>
      <c r="S11" s="39"/>
      <c r="T11" s="56" t="s">
        <v>96</v>
      </c>
      <c r="U11" s="56" t="s">
        <v>96</v>
      </c>
      <c r="V11" s="750"/>
      <c r="W11" s="52"/>
    </row>
    <row r="12" spans="1:30" ht="15" customHeight="1" thickTop="1" x14ac:dyDescent="0.15">
      <c r="C12" s="182"/>
      <c r="D12" s="210"/>
      <c r="E12" s="184"/>
      <c r="F12" s="225"/>
      <c r="G12" s="297" t="str">
        <f ca="1">IF(OR(AC$8=0,L12="b"),"",IF(L12="l",0,"("&amp;FIXED(-F12,K13,0)&amp;M12))</f>
        <v/>
      </c>
      <c r="H12" s="183"/>
      <c r="I12" s="185"/>
      <c r="L12" t="str">
        <f ca="1">CELL("type",F12)</f>
        <v>b</v>
      </c>
      <c r="M12" t="str">
        <f>")"&amp;REPT(" ",2-K13)&amp;IF(K13=0," ","")</f>
        <v xml:space="preserve">) </v>
      </c>
      <c r="O12" s="253"/>
      <c r="P12" s="207">
        <f>D12</f>
        <v>0</v>
      </c>
      <c r="Q12" s="207">
        <f>E12</f>
        <v>0</v>
      </c>
      <c r="R12" s="300" t="str">
        <f ca="1">G12</f>
        <v/>
      </c>
      <c r="S12" s="304"/>
      <c r="T12" s="144"/>
      <c r="U12" s="206">
        <f ca="1">IF(OR(AC$8=0,SUM(Z13:AC13)=0),1,IF(L12="l","",SUM(AB13:AC13)))</f>
        <v>1</v>
      </c>
      <c r="V12" s="385"/>
      <c r="W12" s="50"/>
    </row>
    <row r="13" spans="1:30" ht="15" customHeight="1" x14ac:dyDescent="0.15">
      <c r="C13" s="186" t="s">
        <v>580</v>
      </c>
      <c r="D13" s="205" t="s">
        <v>43</v>
      </c>
      <c r="E13" s="188" t="s">
        <v>688</v>
      </c>
      <c r="F13" s="226">
        <v>20.8</v>
      </c>
      <c r="G13" s="296" t="str">
        <f ca="1">IF(L13="b","",IF(L13="l",0,FIXED(F13,K13,0)&amp;M13))</f>
        <v xml:space="preserve">20.8  </v>
      </c>
      <c r="H13" s="187" t="s">
        <v>229</v>
      </c>
      <c r="I13" s="189"/>
      <c r="K13" s="215">
        <v>1</v>
      </c>
      <c r="L13" t="str">
        <f ca="1">CELL("type",F13)</f>
        <v>v</v>
      </c>
      <c r="M13" t="str">
        <f>REPT(" ",3-K13)&amp;IF(K13=0," ","")</f>
        <v xml:space="preserve">  </v>
      </c>
      <c r="O13" s="194"/>
      <c r="P13" s="208" t="str">
        <f>IF(ISNUMBER(D13),LOOKUP(D13,$AB$5:$AC$7),D13)</f>
        <v>ケ　ー　ブ　ル</v>
      </c>
      <c r="Q13" s="208" t="str">
        <f>E13</f>
        <v>EM-CPEE 0.9㎟ - 3P</v>
      </c>
      <c r="R13" s="301" t="str">
        <f ca="1">G13</f>
        <v xml:space="preserve">20.8  </v>
      </c>
      <c r="S13" s="305" t="str">
        <f>H13</f>
        <v>ｍ</v>
      </c>
      <c r="T13" s="519">
        <v>103</v>
      </c>
      <c r="U13" s="216">
        <f ca="1">IF(L13="l","",IF(D13+F13&gt;0,SUM(Z13:AA13),-1))</f>
        <v>2142</v>
      </c>
      <c r="V13" s="528" t="s">
        <v>709</v>
      </c>
      <c r="W13" s="108"/>
      <c r="Z13" s="114">
        <f>IF(D13&gt;0,0,TRUNC(F13*T13+Y13*X13))</f>
        <v>2142</v>
      </c>
      <c r="AB13">
        <f ca="1">IF(OR(AC$8=0,L12="l",D13&gt;0,U13=-1),0,IF(L12="b",-U13,TRUNC(F12*T13)))</f>
        <v>0</v>
      </c>
    </row>
    <row r="14" spans="1:30" ht="15" customHeight="1" x14ac:dyDescent="0.15">
      <c r="C14" s="182"/>
      <c r="D14" s="210"/>
      <c r="E14" s="184"/>
      <c r="F14" s="225"/>
      <c r="G14" s="297" t="str">
        <f ca="1">IF(OR(AC$8=0,L14="b"),"",IF(L14="l",0,"("&amp;FIXED(-F14,K15,0)&amp;M14))</f>
        <v/>
      </c>
      <c r="H14" s="183"/>
      <c r="I14" s="185"/>
      <c r="L14" t="str">
        <f t="shared" ref="L14:L21" ca="1" si="0">CELL("type",F14)</f>
        <v>b</v>
      </c>
      <c r="M14" t="str">
        <f>")"&amp;REPT(" ",2-K15)&amp;IF(K15=0," ","")</f>
        <v xml:space="preserve">)   </v>
      </c>
      <c r="O14" s="408" t="s">
        <v>7</v>
      </c>
      <c r="P14" s="207">
        <f>D14</f>
        <v>0</v>
      </c>
      <c r="Q14" s="207">
        <f t="shared" ref="Q14:Q21" si="1">E14</f>
        <v>0</v>
      </c>
      <c r="R14" s="300" t="str">
        <f t="shared" ref="R14:R21" ca="1" si="2">G14</f>
        <v/>
      </c>
      <c r="S14" s="304"/>
      <c r="T14" s="144"/>
      <c r="U14" s="206">
        <f ca="1">IF(OR(AC$8=0,SUM(Z15:AC15)=0),1,IF(L14="l","",SUM(AB15:AC15)))</f>
        <v>1</v>
      </c>
      <c r="V14" s="385"/>
      <c r="W14" s="197" t="str">
        <f ca="1">IF(OR(AC$8=0,Y14+Y15=0),"",TEXT(-Y14,"(#,0)"))</f>
        <v/>
      </c>
      <c r="Y14">
        <f ca="1">SUM(AB$13:AB13)</f>
        <v>0</v>
      </c>
    </row>
    <row r="15" spans="1:30" ht="15" customHeight="1" x14ac:dyDescent="0.15">
      <c r="C15" s="186"/>
      <c r="D15" s="205" t="s">
        <v>233</v>
      </c>
      <c r="E15" s="188" t="s">
        <v>47</v>
      </c>
      <c r="F15" s="226">
        <v>1</v>
      </c>
      <c r="G15" s="296" t="str">
        <f ca="1">IF(L15="b","",IF(L15="l",0,FIXED(F15,K15,0)&amp;M15))</f>
        <v xml:space="preserve">1    </v>
      </c>
      <c r="H15" s="187" t="s">
        <v>99</v>
      </c>
      <c r="I15" s="189"/>
      <c r="K15" s="215"/>
      <c r="L15" t="str">
        <f t="shared" ca="1" si="0"/>
        <v>v</v>
      </c>
      <c r="M15" t="str">
        <f>REPT(" ",3-K15)&amp;IF(K15=0," ","")</f>
        <v xml:space="preserve">    </v>
      </c>
      <c r="O15" s="463" t="s">
        <v>345</v>
      </c>
      <c r="P15" s="208" t="str">
        <f>IF(ISNUMBER(D15),LOOKUP(D15,$AB$5:$AC$7),D15)</f>
        <v>付  属  材  料</v>
      </c>
      <c r="Q15" s="208" t="str">
        <f t="shared" si="1"/>
        <v>上記材料費の1.5％</v>
      </c>
      <c r="R15" s="301" t="str">
        <f t="shared" ca="1" si="2"/>
        <v xml:space="preserve">1    </v>
      </c>
      <c r="S15" s="305" t="str">
        <f>H15</f>
        <v>式</v>
      </c>
      <c r="T15" s="145"/>
      <c r="U15" s="216">
        <f ca="1">IF(L15="l","",IF(D15+F15&gt;0,SUM(Z15:AA15),-1))</f>
        <v>32</v>
      </c>
      <c r="V15" s="386"/>
      <c r="W15" s="142" t="str">
        <f>TEXT(Y15," #,0×")&amp;TEXT(X15,"0.000＝")</f>
        <v xml:space="preserve"> 2,142×0.015＝</v>
      </c>
      <c r="X15">
        <f>VALUE(MID(E15,7,3))/100</f>
        <v>1.4999999999999999E-2</v>
      </c>
      <c r="Y15" s="114">
        <f>SUM(Z$13:Z13)</f>
        <v>2142</v>
      </c>
      <c r="Z15" s="114">
        <f>IF(D15&gt;0,0,TRUNC(F15*T15+Y15*X15))</f>
        <v>32</v>
      </c>
      <c r="AA15" t="b">
        <f>IF($D15=1,SUM(Z$13:Z13)-SUM(AA$13:AA13),IF($D15=2,$AA$6,IF($D15=3,TRUNC($AA$6,-3))))</f>
        <v>0</v>
      </c>
      <c r="AB15">
        <f ca="1">IF(OR(AC$8=0,L14="l",D15&gt;0,U15=-1),0,IF(L14="b",-U15,TRUNC(F14*T15)))</f>
        <v>0</v>
      </c>
      <c r="AC15" t="b">
        <f>IF($D15=1,SUM(AB$13:AB13)-SUM(AC$13:AC13),IF($D15=2,$AA$5,IF($D15=3,TRUNC($AA$5,-3))))</f>
        <v>0</v>
      </c>
    </row>
    <row r="16" spans="1:30" ht="15" customHeight="1" x14ac:dyDescent="0.15">
      <c r="C16" s="182"/>
      <c r="D16" s="210"/>
      <c r="E16" s="184"/>
      <c r="F16" s="225"/>
      <c r="G16" s="297" t="str">
        <f ca="1">IF(OR(AC$8=0,L16="b"),"",IF(L16="l",0,"("&amp;FIXED(-F16,K17,0)&amp;M16))</f>
        <v/>
      </c>
      <c r="H16" s="183"/>
      <c r="I16" s="185"/>
      <c r="L16" t="str">
        <f t="shared" ca="1" si="0"/>
        <v>b</v>
      </c>
      <c r="M16" t="str">
        <f>")"&amp;REPT(" ",2-K17)&amp;IF(K17=0," ","")</f>
        <v xml:space="preserve">)   </v>
      </c>
      <c r="O16" s="194" t="s">
        <v>369</v>
      </c>
      <c r="P16" s="207">
        <f>D16</f>
        <v>0</v>
      </c>
      <c r="Q16" s="207">
        <f t="shared" si="1"/>
        <v>0</v>
      </c>
      <c r="R16" s="300" t="str">
        <f t="shared" ca="1" si="2"/>
        <v/>
      </c>
      <c r="S16" s="304"/>
      <c r="T16" s="144"/>
      <c r="U16" s="206">
        <f ca="1">IF(OR(AC$8=0,SUM(Z17:AC17)=0),1,IF(L16="l","",SUM(AB17:AC17)))</f>
        <v>1</v>
      </c>
      <c r="V16" s="385"/>
      <c r="W16" s="50"/>
    </row>
    <row r="17" spans="3:29" ht="15" customHeight="1" x14ac:dyDescent="0.15">
      <c r="C17" s="186"/>
      <c r="D17" s="205"/>
      <c r="E17" s="188"/>
      <c r="F17" s="226"/>
      <c r="G17" s="296" t="str">
        <f ca="1">IF(L17="b","",IF(L17="l",0,FIXED(F17,K17,0)&amp;M17))</f>
        <v/>
      </c>
      <c r="H17" s="187"/>
      <c r="I17" s="189"/>
      <c r="K17" s="215"/>
      <c r="L17" t="str">
        <f t="shared" ca="1" si="0"/>
        <v>b</v>
      </c>
      <c r="M17" t="str">
        <f>REPT(" ",3-K17)&amp;IF(K17=0," ","")</f>
        <v xml:space="preserve">    </v>
      </c>
      <c r="O17" s="194" t="s">
        <v>370</v>
      </c>
      <c r="P17" s="208">
        <f>IF(ISNUMBER(D17),LOOKUP(D17,$AB$5:$AC$7),D17)</f>
        <v>0</v>
      </c>
      <c r="Q17" s="208">
        <f t="shared" si="1"/>
        <v>0</v>
      </c>
      <c r="R17" s="301" t="str">
        <f t="shared" ca="1" si="2"/>
        <v/>
      </c>
      <c r="S17" s="305">
        <f>H17</f>
        <v>0</v>
      </c>
      <c r="T17" s="145"/>
      <c r="U17" s="216">
        <f ca="1">IF(L17="l","",IF(D17+F17&gt;0,SUM(Z17:AA17),-1))</f>
        <v>-1</v>
      </c>
      <c r="V17" s="386"/>
      <c r="W17" s="107"/>
      <c r="Z17" s="114">
        <f>IF(D17&gt;0,0,TRUNC(F17*T17+Y17*X17))</f>
        <v>0</v>
      </c>
      <c r="AA17" t="b">
        <f>IF($D17=1,SUM(Z$13:Z15)-SUM(AA$13:AA15),IF($D17=2,$AA$6,IF($D17=3,TRUNC($AA$6,-3))))</f>
        <v>0</v>
      </c>
      <c r="AB17">
        <f ca="1">IF(OR(AC$8=0,L16="l",D17&gt;0,U17=-1),0,IF(L16="b",-U17,TRUNC(F16*T17)))</f>
        <v>0</v>
      </c>
      <c r="AC17" t="b">
        <f>IF($D17=1,SUM(AB$13:AB15)-SUM(AC$13:AC15),IF($D17=2,$AA$5,IF($D17=3,TRUNC($AA$5,-3))))</f>
        <v>0</v>
      </c>
    </row>
    <row r="18" spans="3:29" ht="15" customHeight="1" x14ac:dyDescent="0.15">
      <c r="C18" s="182"/>
      <c r="D18" s="210"/>
      <c r="E18" s="184"/>
      <c r="F18" s="225"/>
      <c r="G18" s="297" t="str">
        <f ca="1">IF(OR(AC$8=0,L18="b"),"",IF(L18="l",0,"("&amp;FIXED(-F18,K19,0)&amp;M18))</f>
        <v/>
      </c>
      <c r="H18" s="183"/>
      <c r="I18" s="185"/>
      <c r="L18" t="str">
        <f t="shared" ca="1" si="0"/>
        <v>b</v>
      </c>
      <c r="M18" t="str">
        <f>")"&amp;REPT(" ",2-K19)&amp;IF(K19=0," ","")</f>
        <v xml:space="preserve">)   </v>
      </c>
      <c r="O18" s="194"/>
      <c r="P18" s="207">
        <f>D18</f>
        <v>0</v>
      </c>
      <c r="Q18" s="207">
        <f t="shared" si="1"/>
        <v>0</v>
      </c>
      <c r="R18" s="300" t="str">
        <f t="shared" ca="1" si="2"/>
        <v/>
      </c>
      <c r="S18" s="304"/>
      <c r="T18" s="144"/>
      <c r="U18" s="206">
        <f ca="1">IF(OR(AC$8=0,SUM(Z19:AC19)=0),1,IF(L18="l","",SUM(AB19:AC19)))</f>
        <v>1</v>
      </c>
      <c r="V18" s="385"/>
      <c r="W18" s="50"/>
    </row>
    <row r="19" spans="3:29" ht="15" customHeight="1" x14ac:dyDescent="0.15">
      <c r="C19" s="186"/>
      <c r="D19" s="205">
        <v>1</v>
      </c>
      <c r="E19" s="188"/>
      <c r="F19" s="226"/>
      <c r="G19" s="296" t="str">
        <f ca="1">IF(L19="b","",IF(L19="l",0,FIXED(F19,K19,0)&amp;M19))</f>
        <v/>
      </c>
      <c r="H19" s="187"/>
      <c r="I19" s="189"/>
      <c r="K19" s="215"/>
      <c r="L19" t="str">
        <f t="shared" ca="1" si="0"/>
        <v>b</v>
      </c>
      <c r="M19" t="str">
        <f>REPT(" ",3-K19)&amp;IF(K19=0," ","")</f>
        <v xml:space="preserve">    </v>
      </c>
      <c r="O19" s="194"/>
      <c r="P19" s="208" t="str">
        <f>IF(ISNUMBER(D19),LOOKUP(D19,$AB$5:$AC$7),D19)</f>
        <v>小    　計</v>
      </c>
      <c r="Q19" s="208">
        <f t="shared" si="1"/>
        <v>0</v>
      </c>
      <c r="R19" s="301" t="str">
        <f t="shared" ca="1" si="2"/>
        <v/>
      </c>
      <c r="S19" s="305">
        <f>H19</f>
        <v>0</v>
      </c>
      <c r="T19" s="145"/>
      <c r="U19" s="216">
        <f ca="1">IF(L19="l","",IF(D19+F19&gt;0,SUM(Z19:AA19),-1))</f>
        <v>2174</v>
      </c>
      <c r="V19" s="386"/>
      <c r="W19" s="107"/>
      <c r="Z19" s="114">
        <f>IF(D19&gt;0,0,TRUNC(F19*T19+Y19*X19))</f>
        <v>0</v>
      </c>
      <c r="AA19">
        <f>IF($D19=1,SUM(Z$13:Z17)-SUM(AA$13:AA17),IF($D19=2,$AA$6,IF($D19=3,TRUNC($AA$6,-3))))</f>
        <v>2174</v>
      </c>
      <c r="AB19">
        <f ca="1">IF(OR(AC$8=0,L18="l",D19&gt;0,U19=-1),0,IF(L18="b",-U19,TRUNC(F18*T19)))</f>
        <v>0</v>
      </c>
      <c r="AC19">
        <f ca="1">IF($D19=1,SUM(AB$13:AB17)-SUM(AC$13:AC17),IF($D19=2,$AA$5,IF($D19=3,TRUNC($AA$5,-3))))</f>
        <v>0</v>
      </c>
    </row>
    <row r="20" spans="3:29" ht="15" customHeight="1" x14ac:dyDescent="0.15">
      <c r="C20" s="182"/>
      <c r="D20" s="210"/>
      <c r="E20" s="184" t="s">
        <v>450</v>
      </c>
      <c r="F20" s="227"/>
      <c r="G20" s="297" t="str">
        <f ca="1">IF(OR(AC$8=0,L20="b"),"",IF(L20="l",0,"("&amp;FIXED(-F20,K21,0)&amp;M20))</f>
        <v/>
      </c>
      <c r="H20" s="183"/>
      <c r="I20" s="185"/>
      <c r="L20" t="str">
        <f t="shared" ca="1" si="0"/>
        <v>b</v>
      </c>
      <c r="M20" t="str">
        <f>")"&amp;REPT(" ",2-K21)&amp;IF(K21=0," ","")</f>
        <v xml:space="preserve">)   </v>
      </c>
      <c r="O20" s="194"/>
      <c r="P20" s="207">
        <f>D20</f>
        <v>0</v>
      </c>
      <c r="Q20" s="207" t="str">
        <f t="shared" si="1"/>
        <v>モジュラージャック</v>
      </c>
      <c r="R20" s="300" t="str">
        <f t="shared" ca="1" si="2"/>
        <v/>
      </c>
      <c r="S20" s="304"/>
      <c r="T20" s="144"/>
      <c r="U20" s="206">
        <f ca="1">IF(OR(AC$8=0,SUM(Z21:AC21)=0),1,IF(L20="l","",SUM(AB21:AC21)))</f>
        <v>1</v>
      </c>
      <c r="V20" s="385"/>
      <c r="W20" s="50"/>
    </row>
    <row r="21" spans="3:29" ht="15" customHeight="1" x14ac:dyDescent="0.15">
      <c r="C21" s="186" t="s">
        <v>60</v>
      </c>
      <c r="D21" s="205" t="s">
        <v>449</v>
      </c>
      <c r="E21" s="188" t="s">
        <v>582</v>
      </c>
      <c r="F21" s="226">
        <v>1</v>
      </c>
      <c r="G21" s="296" t="str">
        <f ca="1">IF(L21="b","",IF(L21="l",0,FIXED(F21,K21,0)&amp;M21))</f>
        <v xml:space="preserve">1    </v>
      </c>
      <c r="H21" s="187" t="s">
        <v>252</v>
      </c>
      <c r="I21" s="189"/>
      <c r="K21" s="215"/>
      <c r="L21" t="str">
        <f t="shared" ca="1" si="0"/>
        <v>v</v>
      </c>
      <c r="M21" t="str">
        <f>REPT(" ",3-K21)&amp;IF(K21=0," ","")</f>
        <v xml:space="preserve">    </v>
      </c>
      <c r="O21" s="194" t="s">
        <v>329</v>
      </c>
      <c r="P21" s="208" t="str">
        <f>IF(ISNUMBER(D21),LOOKUP(D21,$AB$5:$AC$7),D21)</f>
        <v>電　話　端　子</v>
      </c>
      <c r="Q21" s="208" t="str">
        <f t="shared" si="1"/>
        <v>6極 2芯</v>
      </c>
      <c r="R21" s="301" t="str">
        <f t="shared" ca="1" si="2"/>
        <v xml:space="preserve">1    </v>
      </c>
      <c r="S21" s="305" t="str">
        <f>H21</f>
        <v>個</v>
      </c>
      <c r="T21" s="145">
        <v>160</v>
      </c>
      <c r="U21" s="216">
        <f ca="1">IF(L21="l","",IF(D21+F21&gt;0,SUM(Z21:AA21),-1))</f>
        <v>160</v>
      </c>
      <c r="V21" s="386">
        <v>286</v>
      </c>
      <c r="W21" s="107"/>
      <c r="Z21" s="114">
        <f>IF(D21&gt;0,0,TRUNC(F21*T21+Y21*X21))</f>
        <v>160</v>
      </c>
      <c r="AA21" t="b">
        <f>IF($D21=1,SUM(Z$13:Z19)-SUM(AA$13:AA19),IF($D21=2,$AA$6,IF($D21=3,TRUNC($AA$6,-3))))</f>
        <v>0</v>
      </c>
      <c r="AB21">
        <f ca="1">IF(OR(AC$8=0,L20="l",D21&gt;0,U21=-1),0,IF(L20="b",-U21,TRUNC(F20*T21)))</f>
        <v>0</v>
      </c>
      <c r="AC21" t="b">
        <f>IF($D21=1,SUM(AB$13:AB19)-SUM(AC$13:AC19),IF($D21=2,$AA$5,IF($D21=3,TRUNC($AA$5,-3))))</f>
        <v>0</v>
      </c>
    </row>
    <row r="22" spans="3:29" ht="15" customHeight="1" x14ac:dyDescent="0.15">
      <c r="C22" s="182"/>
      <c r="D22" s="210"/>
      <c r="E22" s="184"/>
      <c r="F22" s="225"/>
      <c r="G22" s="297" t="str">
        <f ca="1">IF(OR(AC$8=0,L22="b"),"",IF(L22="l",0,"("&amp;FIXED(-F22,K23,0)&amp;M22))</f>
        <v/>
      </c>
      <c r="H22" s="183"/>
      <c r="I22" s="185"/>
      <c r="L22" t="str">
        <f t="shared" ref="L22:L39" ca="1" si="3">CELL("type",F22)</f>
        <v>b</v>
      </c>
      <c r="M22" t="str">
        <f>")"&amp;REPT(" ",2-K23)&amp;IF(K23=0," ","")</f>
        <v xml:space="preserve">)   </v>
      </c>
      <c r="O22" s="194" t="s">
        <v>328</v>
      </c>
      <c r="P22" s="207">
        <f>D22</f>
        <v>0</v>
      </c>
      <c r="Q22" s="207">
        <f>E22</f>
        <v>0</v>
      </c>
      <c r="R22" s="300" t="str">
        <f t="shared" ref="R22:R39" ca="1" si="4">G22</f>
        <v/>
      </c>
      <c r="S22" s="304"/>
      <c r="T22" s="144"/>
      <c r="U22" s="206">
        <f ca="1">IF(OR(AC$8=0,SUM(Z23:AC23)=0),1,IF(L22="l","",SUM(AB23:AC23)))</f>
        <v>1</v>
      </c>
      <c r="V22" s="385"/>
      <c r="W22" s="50"/>
    </row>
    <row r="23" spans="3:29" ht="15" customHeight="1" x14ac:dyDescent="0.15">
      <c r="C23" s="186"/>
      <c r="D23" s="205"/>
      <c r="E23" s="188"/>
      <c r="F23" s="226"/>
      <c r="G23" s="296" t="str">
        <f ca="1">IF(L23="b","",IF(L23="l",0,FIXED(F23,K23,0)&amp;M23))</f>
        <v/>
      </c>
      <c r="H23" s="187"/>
      <c r="I23" s="189"/>
      <c r="K23" s="215"/>
      <c r="L23" t="str">
        <f t="shared" ca="1" si="3"/>
        <v>b</v>
      </c>
      <c r="M23" t="str">
        <f>REPT(" ",3-K23)&amp;IF(K23=0," ","")</f>
        <v xml:space="preserve">    </v>
      </c>
      <c r="O23" s="194" t="s">
        <v>82</v>
      </c>
      <c r="P23" s="208">
        <f>IF(ISNUMBER(D23),LOOKUP(D23,$AB$5:$AC$7),D23)</f>
        <v>0</v>
      </c>
      <c r="Q23" s="208">
        <f>E23</f>
        <v>0</v>
      </c>
      <c r="R23" s="301" t="str">
        <f t="shared" ca="1" si="4"/>
        <v/>
      </c>
      <c r="S23" s="305">
        <f>H23</f>
        <v>0</v>
      </c>
      <c r="T23" s="145"/>
      <c r="U23" s="216">
        <f ca="1">IF(L23="l","",IF(D23+F23&gt;0,SUM(Z23:AA23),-1))</f>
        <v>-1</v>
      </c>
      <c r="V23" s="386"/>
      <c r="W23" s="107"/>
      <c r="Z23" s="114">
        <f>IF(D23&gt;0,0,TRUNC(F23*T23+Y23*X23))</f>
        <v>0</v>
      </c>
      <c r="AA23" t="b">
        <f>IF($D23=1,SUM(Z$13:Z21)-SUM(AA$13:AA21),IF($D23=2,$AA$6,IF($D23=3,TRUNC($AA$6,-3))))</f>
        <v>0</v>
      </c>
      <c r="AB23">
        <f ca="1">IF(OR(AC$8=0,L22="l",D23&gt;0,U23=-1),0,IF(L22="b",-U23,TRUNC(F22*T23)))</f>
        <v>0</v>
      </c>
      <c r="AC23" t="b">
        <f>IF($D23=1,SUM(AB$13:AB21)-SUM(AC$13:AC21),IF($D23=2,$AA$5,IF($D23=3,TRUNC($AA$5,-3))))</f>
        <v>0</v>
      </c>
    </row>
    <row r="24" spans="3:29" ht="15" customHeight="1" x14ac:dyDescent="0.15">
      <c r="C24" s="182"/>
      <c r="D24" s="210"/>
      <c r="E24" s="184"/>
      <c r="F24" s="227"/>
      <c r="G24" s="297" t="str">
        <f ca="1">IF(OR(AC$8=0,L24="b"),"",IF(L24="l",0,"("&amp;FIXED(-F24,K25,0)&amp;M24))</f>
        <v/>
      </c>
      <c r="H24" s="183"/>
      <c r="I24" s="185"/>
      <c r="L24" t="str">
        <f t="shared" ca="1" si="3"/>
        <v>b</v>
      </c>
      <c r="M24" t="str">
        <f>")"&amp;REPT(" ",2-K25)&amp;IF(K25=0," ","")</f>
        <v xml:space="preserve">)   </v>
      </c>
      <c r="O24" s="194"/>
      <c r="P24" s="207">
        <f>D24</f>
        <v>0</v>
      </c>
      <c r="Q24" s="207">
        <f>E24</f>
        <v>0</v>
      </c>
      <c r="R24" s="300" t="str">
        <f t="shared" ca="1" si="4"/>
        <v/>
      </c>
      <c r="S24" s="304"/>
      <c r="T24" s="144"/>
      <c r="U24" s="206">
        <f ca="1">IF(OR(AC$8=0,SUM(Z25:AC25)=0),1,IF(L24="l","",SUM(AB25:AC25)))</f>
        <v>1</v>
      </c>
      <c r="V24" s="385"/>
      <c r="W24" s="50"/>
    </row>
    <row r="25" spans="3:29" ht="15" customHeight="1" x14ac:dyDescent="0.15">
      <c r="C25" s="186"/>
      <c r="D25" s="205">
        <v>1</v>
      </c>
      <c r="E25" s="188"/>
      <c r="F25" s="226"/>
      <c r="G25" s="296" t="str">
        <f ca="1">IF(L25="b","",IF(L25="l",0,FIXED(F25,K25,0)&amp;M25))</f>
        <v/>
      </c>
      <c r="H25" s="187"/>
      <c r="I25" s="189"/>
      <c r="K25" s="215"/>
      <c r="L25" t="str">
        <f t="shared" ca="1" si="3"/>
        <v>b</v>
      </c>
      <c r="M25" t="str">
        <f>REPT(" ",3-K25)&amp;IF(K25=0," ","")</f>
        <v xml:space="preserve">    </v>
      </c>
      <c r="O25" s="194"/>
      <c r="P25" s="208" t="str">
        <f>IF(ISNUMBER(D25),LOOKUP(D25,$AB$5:$AC$7),D25)</f>
        <v>小    　計</v>
      </c>
      <c r="Q25" s="208">
        <f t="shared" ref="Q25:Q37" si="5">E25</f>
        <v>0</v>
      </c>
      <c r="R25" s="301" t="str">
        <f t="shared" ca="1" si="4"/>
        <v/>
      </c>
      <c r="S25" s="305">
        <f>H25</f>
        <v>0</v>
      </c>
      <c r="T25" s="145"/>
      <c r="U25" s="216">
        <f ca="1">IF(L25="l","",IF(D25+F25&gt;0,SUM(Z25:AA25),-1))</f>
        <v>160</v>
      </c>
      <c r="V25" s="386"/>
      <c r="W25" s="107"/>
      <c r="Z25" s="114">
        <f>IF(D25&gt;0,0,TRUNC(F25*T25+Y25*X25))</f>
        <v>0</v>
      </c>
      <c r="AA25">
        <f>IF($D25=1,SUM(Z$13:Z23)-SUM(AA$13:AA23),IF($D25=2,$AA$6,IF($D25=3,TRUNC($AA$6,-3))))</f>
        <v>160</v>
      </c>
      <c r="AB25">
        <f ca="1">IF(OR(AC$8=0,L24="l",D25&gt;0,U25=-1),0,IF(L24="b",-U25,TRUNC(F24*T25)))</f>
        <v>0</v>
      </c>
      <c r="AC25">
        <f ca="1">IF($D25=1,SUM(AB$13:AB23)-SUM(AC$13:AC23),IF($D25=2,$AA$5,IF($D25=3,TRUNC($AA$5,-3))))</f>
        <v>0</v>
      </c>
    </row>
    <row r="26" spans="3:29" ht="15" customHeight="1" x14ac:dyDescent="0.15">
      <c r="C26" s="182"/>
      <c r="D26" s="214"/>
      <c r="E26" s="184"/>
      <c r="F26" s="227"/>
      <c r="G26" s="297" t="str">
        <f ca="1">IF(OR(AC$8=0,L26="b"),"",IF(L26="l",0,"("&amp;FIXED(-F26,K27,0)&amp;M26))</f>
        <v/>
      </c>
      <c r="H26" s="183"/>
      <c r="I26" s="185"/>
      <c r="L26" t="str">
        <f t="shared" ca="1" si="3"/>
        <v>b</v>
      </c>
      <c r="M26" t="str">
        <f>")"&amp;REPT(" ",2-K27)&amp;IF(K27=0," ","")</f>
        <v xml:space="preserve">)   </v>
      </c>
      <c r="O26" s="194"/>
      <c r="P26" s="317">
        <f>D26</f>
        <v>0</v>
      </c>
      <c r="Q26" s="207">
        <f t="shared" si="5"/>
        <v>0</v>
      </c>
      <c r="R26" s="300" t="str">
        <f t="shared" ca="1" si="4"/>
        <v/>
      </c>
      <c r="S26" s="304"/>
      <c r="T26" s="144"/>
      <c r="U26" s="206">
        <f ca="1">IF(OR(AC$8=0,SUM(Z27:AC27)=0),1,IF(L26="l","",SUM(AB27:AC27)))</f>
        <v>1</v>
      </c>
      <c r="V26" s="385"/>
      <c r="W26" s="50"/>
    </row>
    <row r="27" spans="3:29" ht="15" customHeight="1" x14ac:dyDescent="0.15">
      <c r="C27" s="186"/>
      <c r="D27" s="213"/>
      <c r="E27" s="188"/>
      <c r="F27" s="226"/>
      <c r="G27" s="296" t="str">
        <f ca="1">IF(L27="b","",IF(L27="l",0,FIXED(F27,K27,0)&amp;M27))</f>
        <v/>
      </c>
      <c r="H27" s="187"/>
      <c r="I27" s="189"/>
      <c r="K27" s="215"/>
      <c r="L27" t="str">
        <f t="shared" ca="1" si="3"/>
        <v>b</v>
      </c>
      <c r="M27" t="str">
        <f>REPT(" ",3-K27)&amp;IF(K27=0," ","")</f>
        <v xml:space="preserve">    </v>
      </c>
      <c r="O27" s="194"/>
      <c r="P27" s="256">
        <f>IF(ISNUMBER(D27),LOOKUP(D27,$AB$5:$AC$7),D27)</f>
        <v>0</v>
      </c>
      <c r="Q27" s="208">
        <f t="shared" si="5"/>
        <v>0</v>
      </c>
      <c r="R27" s="301" t="str">
        <f t="shared" ca="1" si="4"/>
        <v/>
      </c>
      <c r="S27" s="305">
        <f>H27</f>
        <v>0</v>
      </c>
      <c r="T27" s="145"/>
      <c r="U27" s="216">
        <f ca="1">IF(L27="l","",IF(D27+F27&gt;0,SUM(Z27:AA27),-1))</f>
        <v>-1</v>
      </c>
      <c r="V27" s="386"/>
      <c r="W27" s="107"/>
      <c r="Z27" s="114">
        <f>IF(D27&gt;0,0,TRUNC(F27*T27+Y27*X27))</f>
        <v>0</v>
      </c>
      <c r="AA27" t="b">
        <f>IF($D27=1,SUM(Z$13:Z25)-SUM(AA$13:AA25),IF($D27=2,$AA$6,IF($D27=3,TRUNC($AA$6,-3))))</f>
        <v>0</v>
      </c>
      <c r="AB27">
        <f ca="1">IF(OR(AC$8=0,L26="l",D27&gt;0,U27=-1),0,IF(L26="b",-U27,TRUNC(F26*T27)))</f>
        <v>0</v>
      </c>
      <c r="AC27" t="b">
        <f>IF($D27=1,SUM(AB$13:AB25)-SUM(AC$13:AC25),IF($D27=2,$AA$5,IF($D27=3,TRUNC($AA$5,-3))))</f>
        <v>0</v>
      </c>
    </row>
    <row r="28" spans="3:29" ht="15" customHeight="1" x14ac:dyDescent="0.15">
      <c r="C28" s="182"/>
      <c r="D28" s="210"/>
      <c r="E28" s="184"/>
      <c r="F28" s="227"/>
      <c r="G28" s="297" t="str">
        <f ca="1">IF(OR(AC$8=0,L28="b"),"",IF(L28="l",0,"("&amp;FIXED(-F28,K29,0)&amp;M28))</f>
        <v/>
      </c>
      <c r="H28" s="183"/>
      <c r="I28" s="185"/>
      <c r="L28" t="str">
        <f t="shared" ca="1" si="3"/>
        <v>b</v>
      </c>
      <c r="M28" t="str">
        <f>")"&amp;REPT(" ",2-K29)&amp;IF(K29=0," ","")</f>
        <v xml:space="preserve">)   </v>
      </c>
      <c r="O28" s="194"/>
      <c r="P28" s="207">
        <f>D28</f>
        <v>0</v>
      </c>
      <c r="Q28" s="207">
        <f t="shared" si="5"/>
        <v>0</v>
      </c>
      <c r="R28" s="300" t="str">
        <f t="shared" ca="1" si="4"/>
        <v/>
      </c>
      <c r="S28" s="304"/>
      <c r="T28" s="144"/>
      <c r="U28" s="206">
        <f ca="1">IF(OR(AC$8=0,SUM(Z29:AC29)=0),1,IF(L28="l","",SUM(AB29:AC29)))</f>
        <v>1</v>
      </c>
      <c r="V28" s="385"/>
      <c r="W28" s="197"/>
    </row>
    <row r="29" spans="3:29" ht="15" customHeight="1" x14ac:dyDescent="0.15">
      <c r="C29" s="186"/>
      <c r="D29" s="205"/>
      <c r="E29" s="188"/>
      <c r="F29" s="226"/>
      <c r="G29" s="296" t="str">
        <f ca="1">IF(L29="b","",IF(L29="l",0,FIXED(F29,K29,0)&amp;M29))</f>
        <v/>
      </c>
      <c r="H29" s="187"/>
      <c r="I29" s="189"/>
      <c r="K29" s="215"/>
      <c r="L29" t="str">
        <f t="shared" ca="1" si="3"/>
        <v>b</v>
      </c>
      <c r="M29" t="str">
        <f>REPT(" ",3-K29)&amp;IF(K29=0," ","")</f>
        <v xml:space="preserve">    </v>
      </c>
      <c r="O29" s="194"/>
      <c r="P29" s="208">
        <f>IF(ISNUMBER(D29),LOOKUP(D29,$AB$5:$AC$7),D29)</f>
        <v>0</v>
      </c>
      <c r="Q29" s="208">
        <f t="shared" si="5"/>
        <v>0</v>
      </c>
      <c r="R29" s="301" t="str">
        <f t="shared" ca="1" si="4"/>
        <v/>
      </c>
      <c r="S29" s="305">
        <f>H29</f>
        <v>0</v>
      </c>
      <c r="T29" s="145"/>
      <c r="U29" s="216">
        <f ca="1">IF(L29="l","",IF(D29+F29&gt;0,SUM(Z29:AA29),-1))</f>
        <v>-1</v>
      </c>
      <c r="V29" s="386"/>
      <c r="W29" s="142"/>
      <c r="Y29" s="114"/>
      <c r="Z29" s="114">
        <f>IF(D29&gt;0,0,TRUNC(F29*T29+Y29*X29))</f>
        <v>0</v>
      </c>
      <c r="AA29" t="b">
        <f>IF($D29=1,SUM(Z$13:Z21)-SUM(AA$13:AA21),IF($D29=2,$AA$6,IF($D29=3,TRUNC($AA$6,-3))))</f>
        <v>0</v>
      </c>
      <c r="AB29">
        <f ca="1">IF(OR(AC$8=0,L28="l",D29&gt;0,U29=-1),0,IF(L28="b",-U29,TRUNC(F28*T29)))</f>
        <v>0</v>
      </c>
      <c r="AC29" t="b">
        <f>IF($D29=1,SUM(AB$13:AB21)-SUM(AC$13:AC21),IF($D29=2,$AA$5,IF($D29=3,TRUNC($AA$5,-3))))</f>
        <v>0</v>
      </c>
    </row>
    <row r="30" spans="3:29" ht="15" customHeight="1" x14ac:dyDescent="0.15">
      <c r="C30" s="182"/>
      <c r="D30" s="210"/>
      <c r="E30" s="184"/>
      <c r="F30" s="227"/>
      <c r="G30" s="297" t="str">
        <f ca="1">IF(OR(AC$8=0,L30="b"),"",IF(L30="l",0,"("&amp;FIXED(-F30,K31,0)&amp;M30))</f>
        <v/>
      </c>
      <c r="H30" s="183"/>
      <c r="I30" s="185"/>
      <c r="L30" t="str">
        <f t="shared" ca="1" si="3"/>
        <v>b</v>
      </c>
      <c r="M30" t="str">
        <f>")"&amp;REPT(" ",2-K31)&amp;IF(K31=0," ","")</f>
        <v xml:space="preserve">)   </v>
      </c>
      <c r="O30" s="194"/>
      <c r="P30" s="207">
        <f>D30</f>
        <v>0</v>
      </c>
      <c r="Q30" s="207">
        <f t="shared" si="5"/>
        <v>0</v>
      </c>
      <c r="R30" s="300" t="str">
        <f t="shared" ca="1" si="4"/>
        <v/>
      </c>
      <c r="S30" s="304"/>
      <c r="T30" s="144"/>
      <c r="U30" s="206">
        <f ca="1">IF(OR(AC$8=0,SUM(Z31:AC31)=0),1,IF(L30="l","",SUM(AB31:AC31)))</f>
        <v>1</v>
      </c>
      <c r="V30" s="385"/>
      <c r="W30" s="50"/>
    </row>
    <row r="31" spans="3:29" ht="15" customHeight="1" x14ac:dyDescent="0.15">
      <c r="C31" s="186"/>
      <c r="D31" s="205"/>
      <c r="E31" s="188"/>
      <c r="F31" s="226"/>
      <c r="G31" s="296" t="str">
        <f ca="1">IF(L31="b","",IF(L31="l",0,FIXED(F31,K31,0)&amp;M31))</f>
        <v/>
      </c>
      <c r="H31" s="187"/>
      <c r="I31" s="189"/>
      <c r="K31" s="215"/>
      <c r="L31" t="str">
        <f t="shared" ca="1" si="3"/>
        <v>b</v>
      </c>
      <c r="M31" t="str">
        <f>REPT(" ",3-K31)&amp;IF(K31=0," ","")</f>
        <v xml:space="preserve">    </v>
      </c>
      <c r="O31" s="194"/>
      <c r="P31" s="208">
        <f>IF(ISNUMBER(D31),LOOKUP(D31,$AB$5:$AC$7),D31)</f>
        <v>0</v>
      </c>
      <c r="Q31" s="208">
        <f t="shared" si="5"/>
        <v>0</v>
      </c>
      <c r="R31" s="301" t="str">
        <f t="shared" ca="1" si="4"/>
        <v/>
      </c>
      <c r="S31" s="305">
        <f>H31</f>
        <v>0</v>
      </c>
      <c r="T31" s="145"/>
      <c r="U31" s="216">
        <f ca="1">IF(L31="l","",IF(D31+F31&gt;0,SUM(Z31:AA31),-1))</f>
        <v>-1</v>
      </c>
      <c r="V31" s="386"/>
      <c r="W31" s="107"/>
      <c r="Z31" s="114">
        <f>IF(D31&gt;0,0,TRUNC(F31*T31+Y31*X31))</f>
        <v>0</v>
      </c>
      <c r="AA31" t="b">
        <f>IF($D31=1,SUM(Z$13:Z29)-SUM(AA$13:AA29),IF($D31=2,$AA$6,IF($D31=3,TRUNC($AA$6,-3))))</f>
        <v>0</v>
      </c>
      <c r="AB31">
        <f ca="1">IF(OR(AC$8=0,L30="l",D31&gt;0,U31=-1),0,IF(L30="b",-U31,TRUNC(F30*T31)))</f>
        <v>0</v>
      </c>
      <c r="AC31" t="b">
        <f>IF($D31=1,SUM(AB$13:AB29)-SUM(AC$13:AC29),IF($D31=2,$AA$5,IF($D31=3,TRUNC($AA$5,-3))))</f>
        <v>0</v>
      </c>
    </row>
    <row r="32" spans="3:29" ht="15" customHeight="1" x14ac:dyDescent="0.15">
      <c r="C32" s="182"/>
      <c r="D32" s="212"/>
      <c r="E32" s="184"/>
      <c r="F32" s="227"/>
      <c r="G32" s="297" t="str">
        <f ca="1">IF(OR(AC$8=0,L32="b"),"",IF(L32="l",0,"("&amp;FIXED(-F32,K33,0)&amp;M32))</f>
        <v/>
      </c>
      <c r="H32" s="183"/>
      <c r="I32" s="185"/>
      <c r="L32" t="str">
        <f t="shared" ca="1" si="3"/>
        <v>b</v>
      </c>
      <c r="M32" t="str">
        <f>")"&amp;REPT(" ",2-K33)&amp;IF(K33=0," ","")</f>
        <v xml:space="preserve">)   </v>
      </c>
      <c r="O32" s="194"/>
      <c r="P32" s="317">
        <f>D32</f>
        <v>0</v>
      </c>
      <c r="Q32" s="207">
        <f t="shared" si="5"/>
        <v>0</v>
      </c>
      <c r="R32" s="300" t="str">
        <f t="shared" ca="1" si="4"/>
        <v/>
      </c>
      <c r="S32" s="304"/>
      <c r="T32" s="144"/>
      <c r="U32" s="206">
        <f ca="1">IF(OR(AC$8=0,SUM(Z33:AC33)=0),1,IF(L32="l","",SUM(AB33:AC33)))</f>
        <v>1</v>
      </c>
      <c r="V32" s="385"/>
      <c r="W32" s="50"/>
    </row>
    <row r="33" spans="3:29" ht="15" customHeight="1" x14ac:dyDescent="0.15">
      <c r="C33" s="186"/>
      <c r="D33" s="213"/>
      <c r="E33" s="188"/>
      <c r="F33" s="226"/>
      <c r="G33" s="296" t="str">
        <f ca="1">IF(L33="b","",IF(L33="l",0,FIXED(F33,K33,0)&amp;M33))</f>
        <v/>
      </c>
      <c r="H33" s="187"/>
      <c r="I33" s="189"/>
      <c r="K33" s="215"/>
      <c r="L33" t="str">
        <f t="shared" ca="1" si="3"/>
        <v>b</v>
      </c>
      <c r="M33" t="str">
        <f>REPT(" ",3-K33)&amp;IF(K33=0," ","")</f>
        <v xml:space="preserve">    </v>
      </c>
      <c r="O33" s="194"/>
      <c r="P33" s="256">
        <f>IF(ISNUMBER(D33),LOOKUP(D33,$AB$5:$AC$7),D33)</f>
        <v>0</v>
      </c>
      <c r="Q33" s="208">
        <f t="shared" si="5"/>
        <v>0</v>
      </c>
      <c r="R33" s="301" t="str">
        <f t="shared" ca="1" si="4"/>
        <v/>
      </c>
      <c r="S33" s="305">
        <f>H33</f>
        <v>0</v>
      </c>
      <c r="T33" s="145"/>
      <c r="U33" s="216">
        <f ca="1">IF(L33="l","",IF(D33+F33&gt;0,SUM(Z33:AA33),-1))</f>
        <v>-1</v>
      </c>
      <c r="V33" s="386"/>
      <c r="W33" s="107"/>
      <c r="Z33" s="114">
        <f>IF(D33&gt;0,0,TRUNC(F33*T33+Y33*X33))</f>
        <v>0</v>
      </c>
      <c r="AA33" t="b">
        <f>IF($D33=1,SUM(Z$13:Z31)-SUM(AA$13:AA31),IF($D33=2,$AA$6,IF($D33=3,TRUNC($AA$6,-3))))</f>
        <v>0</v>
      </c>
      <c r="AB33">
        <f ca="1">IF(OR(AC$8=0,L32="l",D33&gt;0,U33=-1),0,IF(L32="b",-U33,TRUNC(F32*T33)))</f>
        <v>0</v>
      </c>
      <c r="AC33" t="b">
        <f>IF($D33=1,SUM(AB$13:AB31)-SUM(AC$13:AC31),IF($D33=2,$AA$5,IF($D33=3,TRUNC($AA$5,-3))))</f>
        <v>0</v>
      </c>
    </row>
    <row r="34" spans="3:29" ht="15" customHeight="1" x14ac:dyDescent="0.15">
      <c r="C34" s="182"/>
      <c r="D34" s="210"/>
      <c r="E34" s="184"/>
      <c r="F34" s="225"/>
      <c r="G34" s="297" t="str">
        <f ca="1">IF(OR(AC$8=0,L34="b"),"",IF(L34="l",0,"("&amp;FIXED(-F34,K35,0)&amp;M34))</f>
        <v/>
      </c>
      <c r="H34" s="183"/>
      <c r="I34" s="185"/>
      <c r="L34" t="str">
        <f t="shared" ca="1" si="3"/>
        <v>b</v>
      </c>
      <c r="M34" t="str">
        <f>")"&amp;REPT(" ",2-K35)&amp;IF(K35=0," ","")</f>
        <v xml:space="preserve">)   </v>
      </c>
      <c r="O34" s="194"/>
      <c r="P34" s="207">
        <f>D34</f>
        <v>0</v>
      </c>
      <c r="Q34" s="207">
        <f t="shared" si="5"/>
        <v>0</v>
      </c>
      <c r="R34" s="300" t="str">
        <f t="shared" ca="1" si="4"/>
        <v/>
      </c>
      <c r="S34" s="304"/>
      <c r="T34" s="144"/>
      <c r="U34" s="206">
        <f ca="1">IF(OR(AC$8=0,SUM(Z35:AC35)=0),1,IF(L34="l","",SUM(AB35:AC35)))</f>
        <v>1</v>
      </c>
      <c r="V34" s="385"/>
      <c r="W34" s="50"/>
    </row>
    <row r="35" spans="3:29" ht="15" customHeight="1" x14ac:dyDescent="0.15">
      <c r="C35" s="186"/>
      <c r="D35" s="205"/>
      <c r="E35" s="188"/>
      <c r="F35" s="226"/>
      <c r="G35" s="296" t="str">
        <f ca="1">IF(L35="b","",IF(L35="l",0,FIXED(F35,K35,0)&amp;M35))</f>
        <v/>
      </c>
      <c r="H35" s="187"/>
      <c r="I35" s="189"/>
      <c r="K35" s="215"/>
      <c r="L35" t="str">
        <f t="shared" ca="1" si="3"/>
        <v>b</v>
      </c>
      <c r="M35" t="str">
        <f>REPT(" ",3-K35)&amp;IF(K35=0," ","")</f>
        <v xml:space="preserve">    </v>
      </c>
      <c r="O35" s="194"/>
      <c r="P35" s="208">
        <f>IF(ISNUMBER(D35),LOOKUP(D35,$AB$5:$AC$7),D35)</f>
        <v>0</v>
      </c>
      <c r="Q35" s="208">
        <f t="shared" si="5"/>
        <v>0</v>
      </c>
      <c r="R35" s="301" t="str">
        <f t="shared" ca="1" si="4"/>
        <v/>
      </c>
      <c r="S35" s="305">
        <f>H35</f>
        <v>0</v>
      </c>
      <c r="T35" s="145"/>
      <c r="U35" s="216">
        <f ca="1">IF(L35="l","",IF(D35+F35&gt;0,SUM(Z35:AA35),-1))</f>
        <v>-1</v>
      </c>
      <c r="V35" s="386"/>
      <c r="W35" s="107"/>
      <c r="Z35" s="114">
        <f>IF(D35&gt;0,0,TRUNC(F35*T35+Y35*X35))</f>
        <v>0</v>
      </c>
      <c r="AA35" t="b">
        <f>IF($D35=1,SUM(Z$13:Z33)-SUM(AA$13:AA33),IF($D35=2,$AA$6,IF($D35=3,TRUNC($AA$6,-3))))</f>
        <v>0</v>
      </c>
      <c r="AB35">
        <f ca="1">IF(OR(AC$8=0,L34="l",D35&gt;0,U35=-1),0,IF(L34="b",-U35,TRUNC(F34*T35)))</f>
        <v>0</v>
      </c>
      <c r="AC35" t="b">
        <f>IF($D35=1,SUM(AB$13:AB33)-SUM(AC$13:AC33),IF($D35=2,$AA$5,IF($D35=3,TRUNC($AA$5,-3))))</f>
        <v>0</v>
      </c>
    </row>
    <row r="36" spans="3:29" ht="15" customHeight="1" x14ac:dyDescent="0.15">
      <c r="C36" s="182"/>
      <c r="D36" s="210"/>
      <c r="E36" s="184"/>
      <c r="F36" s="227"/>
      <c r="G36" s="297" t="str">
        <f ca="1">IF(OR(AC$8=0,L36="b"),"",IF(L36="l",0,"("&amp;FIXED(-F36,K37,0)&amp;M36))</f>
        <v/>
      </c>
      <c r="H36" s="183"/>
      <c r="I36" s="185"/>
      <c r="L36" t="str">
        <f t="shared" ca="1" si="3"/>
        <v>b</v>
      </c>
      <c r="M36" t="str">
        <f>")"&amp;REPT(" ",2-K37)&amp;IF(K37=0," ","")</f>
        <v xml:space="preserve">)   </v>
      </c>
      <c r="O36" s="194"/>
      <c r="P36" s="207">
        <f>D36</f>
        <v>0</v>
      </c>
      <c r="Q36" s="207">
        <f t="shared" si="5"/>
        <v>0</v>
      </c>
      <c r="R36" s="300" t="str">
        <f t="shared" ca="1" si="4"/>
        <v/>
      </c>
      <c r="S36" s="304"/>
      <c r="T36" s="144"/>
      <c r="U36" s="206">
        <f ca="1">IF(OR(AC$8=0,SUM(Z37:AC37)=0),1,IF(L36="l","",SUM(AB37:AC37)))</f>
        <v>1</v>
      </c>
      <c r="V36" s="385"/>
      <c r="W36" s="50"/>
    </row>
    <row r="37" spans="3:29" ht="15" customHeight="1" x14ac:dyDescent="0.15">
      <c r="C37" s="186"/>
      <c r="D37" s="205"/>
      <c r="E37" s="188"/>
      <c r="F37" s="226"/>
      <c r="G37" s="296" t="str">
        <f ca="1">IF(L37="b","",IF(L37="l",0,FIXED(F37,K37,0)&amp;M37))</f>
        <v/>
      </c>
      <c r="H37" s="187"/>
      <c r="I37" s="189"/>
      <c r="K37" s="215"/>
      <c r="L37" t="str">
        <f t="shared" ca="1" si="3"/>
        <v>b</v>
      </c>
      <c r="M37" t="str">
        <f>REPT(" ",3-K37)&amp;IF(K37=0," ","")</f>
        <v xml:space="preserve">    </v>
      </c>
      <c r="O37" s="194"/>
      <c r="P37" s="208">
        <f>IF(ISNUMBER(D37),LOOKUP(D37,$AB$5:$AC$7),D37)</f>
        <v>0</v>
      </c>
      <c r="Q37" s="208">
        <f t="shared" si="5"/>
        <v>0</v>
      </c>
      <c r="R37" s="301" t="str">
        <f t="shared" ca="1" si="4"/>
        <v/>
      </c>
      <c r="S37" s="305">
        <f>H37</f>
        <v>0</v>
      </c>
      <c r="T37" s="145"/>
      <c r="U37" s="216">
        <f ca="1">IF(L37="l","",IF(D37+F37&gt;0,SUM(Z37:AA37),-1))</f>
        <v>-1</v>
      </c>
      <c r="V37" s="386"/>
      <c r="W37" s="107"/>
      <c r="Z37" s="114">
        <f>IF(D37&gt;0,0,TRUNC(F37*T37+Y37*X37))</f>
        <v>0</v>
      </c>
      <c r="AA37" t="b">
        <f>IF($D37=1,SUM(Z$13:Z35)-SUM(AA$13:AA35),IF($D37=2,$AA$6,IF($D37=3,TRUNC($AA$6,-3))))</f>
        <v>0</v>
      </c>
      <c r="AB37">
        <f ca="1">IF(OR(AC$8=0,L36="l",D37&gt;0,U37=-1),0,IF(L36="b",-U37,TRUNC(F36*T37)))</f>
        <v>0</v>
      </c>
      <c r="AC37" t="b">
        <f>IF($D37=1,SUM(AB$13:AB35)-SUM(AC$13:AC35),IF($D37=2,$AA$5,IF($D37=3,TRUNC($AA$5,-3))))</f>
        <v>0</v>
      </c>
    </row>
    <row r="38" spans="3:29" ht="15" customHeight="1" x14ac:dyDescent="0.15">
      <c r="C38" s="182"/>
      <c r="D38" s="212"/>
      <c r="E38" s="184"/>
      <c r="F38" s="227"/>
      <c r="G38" s="297" t="str">
        <f ca="1">IF(OR(AC$8=0,L38="b"),"",IF(L38="l",0,"("&amp;FIXED(-F38,K39,0)&amp;M38))</f>
        <v/>
      </c>
      <c r="H38" s="183"/>
      <c r="I38" s="185"/>
      <c r="L38" t="str">
        <f t="shared" ca="1" si="3"/>
        <v>b</v>
      </c>
      <c r="M38" t="str">
        <f>")"&amp;REPT(" ",2-K39)&amp;IF(K39=0," ","")</f>
        <v xml:space="preserve">)   </v>
      </c>
      <c r="O38" s="194"/>
      <c r="P38" s="317">
        <f>D38</f>
        <v>0</v>
      </c>
      <c r="Q38" s="207">
        <f t="shared" ref="Q38:Q65" si="6">E38</f>
        <v>0</v>
      </c>
      <c r="R38" s="300" t="str">
        <f t="shared" ca="1" si="4"/>
        <v/>
      </c>
      <c r="S38" s="304"/>
      <c r="T38" s="144"/>
      <c r="U38" s="206">
        <f ca="1">IF(OR(AC$8=0,SUM(Z39:AC39)=0),1,IF(L38="l","",SUM(AB39:AC39)))</f>
        <v>1</v>
      </c>
      <c r="V38" s="385"/>
      <c r="W38" s="50"/>
    </row>
    <row r="39" spans="3:29" ht="15" customHeight="1" x14ac:dyDescent="0.15">
      <c r="C39" s="186"/>
      <c r="D39" s="213"/>
      <c r="E39" s="188"/>
      <c r="F39" s="226"/>
      <c r="G39" s="296" t="str">
        <f ca="1">IF(L39="b","",IF(L39="l",0,FIXED(F39,K39,0)&amp;M39))</f>
        <v/>
      </c>
      <c r="H39" s="187"/>
      <c r="I39" s="189"/>
      <c r="K39" s="215"/>
      <c r="L39" t="str">
        <f t="shared" ca="1" si="3"/>
        <v>b</v>
      </c>
      <c r="M39" t="str">
        <f>REPT(" ",3-K39)&amp;IF(K39=0," ","")</f>
        <v xml:space="preserve">    </v>
      </c>
      <c r="O39" s="194"/>
      <c r="P39" s="256">
        <f>IF(ISNUMBER(D39),LOOKUP(D39,$AB$5:$AC$7),D39)</f>
        <v>0</v>
      </c>
      <c r="Q39" s="208">
        <f t="shared" si="6"/>
        <v>0</v>
      </c>
      <c r="R39" s="301" t="str">
        <f t="shared" ca="1" si="4"/>
        <v/>
      </c>
      <c r="S39" s="305">
        <f>H39</f>
        <v>0</v>
      </c>
      <c r="T39" s="145"/>
      <c r="U39" s="216">
        <f ca="1">IF(L39="l","",IF(D39+F39&gt;0,SUM(Z39:AA39),-1))</f>
        <v>-1</v>
      </c>
      <c r="V39" s="386"/>
      <c r="W39" s="107"/>
      <c r="Z39" s="114">
        <f>IF(D39&gt;0,0,TRUNC(F39*T39+Y39*X39))</f>
        <v>0</v>
      </c>
      <c r="AA39" t="b">
        <f>IF($D39=1,SUM(Z$13:Z37)-SUM(AA$13:AA37),IF($D39=2,$AA$6,IF($D39=3,TRUNC($AA$6,-3))))</f>
        <v>0</v>
      </c>
      <c r="AB39">
        <f ca="1">IF(OR(AC$8=0,L38="l",D39&gt;0,U39=-1),0,IF(L38="b",-U39,TRUNC(F38*T39)))</f>
        <v>0</v>
      </c>
      <c r="AC39" t="b">
        <f>IF($D39=1,SUM(AB$13:AB37)-SUM(AC$13:AC37),IF($D39=2,$AA$5,IF($D39=3,TRUNC($AA$5,-3))))</f>
        <v>0</v>
      </c>
    </row>
    <row r="40" spans="3:29" ht="15" customHeight="1" x14ac:dyDescent="0.15">
      <c r="C40" s="182"/>
      <c r="D40" s="210"/>
      <c r="E40" s="184"/>
      <c r="F40" s="227"/>
      <c r="G40" s="297" t="str">
        <f ca="1">IF(OR(AC$8=0,L40="b"),"",IF(L40="l",0,"("&amp;FIXED(-F40,K41,0)&amp;M40))</f>
        <v/>
      </c>
      <c r="H40" s="183"/>
      <c r="I40" s="185"/>
      <c r="L40" t="str">
        <f t="shared" ref="L40:L67" ca="1" si="7">CELL("type",F40)</f>
        <v>b</v>
      </c>
      <c r="M40" t="str">
        <f>")"&amp;REPT(" ",2-K41)&amp;IF(K41=0," ","")</f>
        <v xml:space="preserve">)   </v>
      </c>
      <c r="O40" s="194"/>
      <c r="P40" s="207">
        <f>D40</f>
        <v>0</v>
      </c>
      <c r="Q40" s="207">
        <f t="shared" si="6"/>
        <v>0</v>
      </c>
      <c r="R40" s="300" t="str">
        <f t="shared" ref="R40:R67" ca="1" si="8">G40</f>
        <v/>
      </c>
      <c r="S40" s="304"/>
      <c r="T40" s="144"/>
      <c r="U40" s="206">
        <f ca="1">IF(OR(AC$8=0,SUM(Z41:AC41)=0),1,IF(L40="l","",SUM(AB41:AC41)))</f>
        <v>1</v>
      </c>
      <c r="V40" s="385"/>
      <c r="W40" s="50"/>
    </row>
    <row r="41" spans="3:29" ht="15" customHeight="1" x14ac:dyDescent="0.15">
      <c r="C41" s="186"/>
      <c r="D41" s="205"/>
      <c r="E41" s="188"/>
      <c r="F41" s="226"/>
      <c r="G41" s="296" t="str">
        <f ca="1">IF(L41="b","",IF(L41="l",0,FIXED(F41,K41,0)&amp;M41))</f>
        <v/>
      </c>
      <c r="H41" s="187"/>
      <c r="I41" s="189"/>
      <c r="K41" s="215"/>
      <c r="L41" t="str">
        <f t="shared" ca="1" si="7"/>
        <v>b</v>
      </c>
      <c r="M41" t="str">
        <f>REPT(" ",3-K41)&amp;IF(K41=0," ","")</f>
        <v xml:space="preserve">    </v>
      </c>
      <c r="O41" s="194"/>
      <c r="P41" s="208">
        <f>IF(ISNUMBER(D41),LOOKUP(D41,$AB$5:$AC$7),D41)</f>
        <v>0</v>
      </c>
      <c r="Q41" s="208">
        <f t="shared" si="6"/>
        <v>0</v>
      </c>
      <c r="R41" s="301" t="str">
        <f t="shared" ca="1" si="8"/>
        <v/>
      </c>
      <c r="S41" s="305">
        <f>H41</f>
        <v>0</v>
      </c>
      <c r="T41" s="145"/>
      <c r="U41" s="216">
        <f ca="1">IF(L41="l","",IF(D41+F41&gt;0,SUM(Z41:AA41),-1))</f>
        <v>-1</v>
      </c>
      <c r="V41" s="386"/>
      <c r="W41" s="107"/>
      <c r="Z41" s="114">
        <f>IF(D41&gt;0,0,TRUNC(F41*T41+Y41*X41))</f>
        <v>0</v>
      </c>
      <c r="AA41" t="b">
        <f>IF($D41=1,SUM(Z$13:Z39)-SUM(AA$13:AA39),IF($D41=2,$AA$6,IF($D41=3,TRUNC($AA$6,-3))))</f>
        <v>0</v>
      </c>
      <c r="AB41">
        <f ca="1">IF(OR(AC$8=0,L40="l",D41&gt;0,U41=-1),0,IF(L40="b",-U41,TRUNC(F40*T41)))</f>
        <v>0</v>
      </c>
      <c r="AC41" t="b">
        <f>IF($D41=1,SUM(AB$13:AB39)-SUM(AC$13:AC39),IF($D41=2,$AA$5,IF($D41=3,TRUNC($AA$5,-3))))</f>
        <v>0</v>
      </c>
    </row>
    <row r="42" spans="3:29" ht="15" customHeight="1" x14ac:dyDescent="0.15">
      <c r="C42" s="182"/>
      <c r="D42" s="210"/>
      <c r="E42" s="184"/>
      <c r="F42" s="227"/>
      <c r="G42" s="297" t="str">
        <f ca="1">IF(OR(AC$8=0,L42="b"),"",IF(L42="l",0,"("&amp;FIXED(-F42,K43,0)&amp;M42))</f>
        <v/>
      </c>
      <c r="H42" s="183"/>
      <c r="I42" s="185"/>
      <c r="L42" t="str">
        <f t="shared" ca="1" si="7"/>
        <v>b</v>
      </c>
      <c r="M42" t="str">
        <f>")"&amp;REPT(" ",2-K43)&amp;IF(K43=0," ","")</f>
        <v xml:space="preserve">)   </v>
      </c>
      <c r="O42" s="194"/>
      <c r="P42" s="207">
        <f>D42</f>
        <v>0</v>
      </c>
      <c r="Q42" s="207">
        <f t="shared" si="6"/>
        <v>0</v>
      </c>
      <c r="R42" s="300" t="str">
        <f t="shared" ca="1" si="8"/>
        <v/>
      </c>
      <c r="S42" s="304"/>
      <c r="T42" s="144"/>
      <c r="U42" s="206">
        <f ca="1">IF(OR(AC$8=0,SUM(Z43:AC43)=0),1,IF(L42="l","",SUM(AB43:AC43)))</f>
        <v>1</v>
      </c>
      <c r="V42" s="385"/>
      <c r="W42" s="197"/>
    </row>
    <row r="43" spans="3:29" ht="15" customHeight="1" x14ac:dyDescent="0.15">
      <c r="C43" s="186"/>
      <c r="D43" s="205"/>
      <c r="E43" s="188"/>
      <c r="F43" s="226"/>
      <c r="G43" s="296" t="str">
        <f ca="1">IF(L43="b","",IF(L43="l",0,FIXED(F43,K43,0)&amp;M43))</f>
        <v/>
      </c>
      <c r="H43" s="187"/>
      <c r="I43" s="189"/>
      <c r="K43" s="215"/>
      <c r="L43" t="str">
        <f t="shared" ca="1" si="7"/>
        <v>b</v>
      </c>
      <c r="M43" t="str">
        <f>REPT(" ",3-K43)&amp;IF(K43=0," ","")</f>
        <v xml:space="preserve">    </v>
      </c>
      <c r="O43" s="194"/>
      <c r="P43" s="208">
        <f>IF(ISNUMBER(D43),LOOKUP(D43,$AB$5:$AC$7),D43)</f>
        <v>0</v>
      </c>
      <c r="Q43" s="208">
        <f t="shared" si="6"/>
        <v>0</v>
      </c>
      <c r="R43" s="301" t="str">
        <f t="shared" ca="1" si="8"/>
        <v/>
      </c>
      <c r="S43" s="305">
        <f>H43</f>
        <v>0</v>
      </c>
      <c r="T43" s="145"/>
      <c r="U43" s="216">
        <f ca="1">IF(L43="l","",IF(D43+F43&gt;0,SUM(Z43:AA43),-1))</f>
        <v>-1</v>
      </c>
      <c r="V43" s="386"/>
      <c r="W43" s="142"/>
      <c r="Y43" s="114"/>
      <c r="Z43" s="114">
        <f>IF(D43&gt;0,0,TRUNC(F43*T43+Y43*X43))</f>
        <v>0</v>
      </c>
      <c r="AA43" t="b">
        <f>IF($D43=1,SUM(Z$13:Z35)-SUM(AA$13:AA35),IF($D43=2,$AA$6,IF($D43=3,TRUNC($AA$6,-3))))</f>
        <v>0</v>
      </c>
      <c r="AB43">
        <f ca="1">IF(OR(AC$8=0,L42="l",D43&gt;0,U43=-1),0,IF(L42="b",-U43,TRUNC(F42*T43)))</f>
        <v>0</v>
      </c>
      <c r="AC43" t="b">
        <f>IF($D43=1,SUM(AB$13:AB35)-SUM(AC$13:AC35),IF($D43=2,$AA$5,IF($D43=3,TRUNC($AA$5,-3))))</f>
        <v>0</v>
      </c>
    </row>
    <row r="44" spans="3:29" ht="15" customHeight="1" x14ac:dyDescent="0.15">
      <c r="C44" s="182"/>
      <c r="D44" s="210"/>
      <c r="E44" s="184"/>
      <c r="F44" s="227"/>
      <c r="G44" s="297" t="str">
        <f ca="1">IF(OR(AC$8=0,L44="b"),"",IF(L44="l",0,"("&amp;FIXED(-F44,K45,0)&amp;M44))</f>
        <v/>
      </c>
      <c r="H44" s="183"/>
      <c r="I44" s="185"/>
      <c r="L44" t="str">
        <f t="shared" ca="1" si="7"/>
        <v>b</v>
      </c>
      <c r="M44" t="str">
        <f>")"&amp;REPT(" ",2-K45)&amp;IF(K45=0," ","")</f>
        <v xml:space="preserve">)   </v>
      </c>
      <c r="O44" s="194"/>
      <c r="P44" s="207">
        <f>D44</f>
        <v>0</v>
      </c>
      <c r="Q44" s="207">
        <f t="shared" si="6"/>
        <v>0</v>
      </c>
      <c r="R44" s="300" t="str">
        <f t="shared" ca="1" si="8"/>
        <v/>
      </c>
      <c r="S44" s="304"/>
      <c r="T44" s="144"/>
      <c r="U44" s="206">
        <f ca="1">IF(OR(AC$8=0,SUM(Z45:AC45)=0),1,IF(L44="l","",SUM(AB45:AC45)))</f>
        <v>1</v>
      </c>
      <c r="V44" s="385"/>
      <c r="W44" s="50"/>
    </row>
    <row r="45" spans="3:29" ht="15" customHeight="1" x14ac:dyDescent="0.15">
      <c r="C45" s="186"/>
      <c r="D45" s="205"/>
      <c r="E45" s="188"/>
      <c r="F45" s="226"/>
      <c r="G45" s="296" t="str">
        <f ca="1">IF(L45="b","",IF(L45="l",0,FIXED(F45,K45,0)&amp;M45))</f>
        <v/>
      </c>
      <c r="H45" s="187"/>
      <c r="I45" s="189"/>
      <c r="K45" s="215"/>
      <c r="L45" t="str">
        <f t="shared" ca="1" si="7"/>
        <v>b</v>
      </c>
      <c r="M45" t="str">
        <f>REPT(" ",3-K45)&amp;IF(K45=0," ","")</f>
        <v xml:space="preserve">    </v>
      </c>
      <c r="O45" s="194"/>
      <c r="P45" s="208">
        <f>IF(ISNUMBER(D45),LOOKUP(D45,$AB$5:$AC$7),D45)</f>
        <v>0</v>
      </c>
      <c r="Q45" s="208">
        <f t="shared" si="6"/>
        <v>0</v>
      </c>
      <c r="R45" s="301" t="str">
        <f t="shared" ca="1" si="8"/>
        <v/>
      </c>
      <c r="S45" s="305">
        <f>H45</f>
        <v>0</v>
      </c>
      <c r="T45" s="145"/>
      <c r="U45" s="216">
        <f ca="1">IF(L45="l","",IF(D45+F45&gt;0,SUM(Z45:AA45),-1))</f>
        <v>-1</v>
      </c>
      <c r="V45" s="386"/>
      <c r="W45" s="107"/>
      <c r="Z45" s="114">
        <f>IF(D45&gt;0,0,TRUNC(F45*T45+Y45*X45))</f>
        <v>0</v>
      </c>
      <c r="AA45" t="b">
        <f>IF($D45=1,SUM(Z$13:Z43)-SUM(AA$13:AA43),IF($D45=2,$AA$6,IF($D45=3,TRUNC($AA$6,-3))))</f>
        <v>0</v>
      </c>
      <c r="AB45">
        <f ca="1">IF(OR(AC$8=0,L44="l",D45&gt;0,U45=-1),0,IF(L44="b",-U45,TRUNC(F44*T45)))</f>
        <v>0</v>
      </c>
      <c r="AC45" t="b">
        <f>IF($D45=1,SUM(AB$13:AB43)-SUM(AC$13:AC43),IF($D45=2,$AA$5,IF($D45=3,TRUNC($AA$5,-3))))</f>
        <v>0</v>
      </c>
    </row>
    <row r="46" spans="3:29" ht="15" customHeight="1" x14ac:dyDescent="0.15">
      <c r="C46" s="182"/>
      <c r="D46" s="214"/>
      <c r="E46" s="184"/>
      <c r="F46" s="227"/>
      <c r="G46" s="297" t="str">
        <f ca="1">IF(OR(AC$8=0,L46="b"),"",IF(L46="l",0,"("&amp;FIXED(-F46,K47,0)&amp;M46))</f>
        <v/>
      </c>
      <c r="H46" s="183"/>
      <c r="I46" s="185"/>
      <c r="L46" t="str">
        <f t="shared" ca="1" si="7"/>
        <v>b</v>
      </c>
      <c r="M46" t="str">
        <f>")"&amp;REPT(" ",2-K47)&amp;IF(K47=0," ","")</f>
        <v xml:space="preserve">)   </v>
      </c>
      <c r="O46" s="194"/>
      <c r="P46" s="317">
        <f>D46</f>
        <v>0</v>
      </c>
      <c r="Q46" s="207">
        <f t="shared" si="6"/>
        <v>0</v>
      </c>
      <c r="R46" s="300" t="str">
        <f t="shared" ca="1" si="8"/>
        <v/>
      </c>
      <c r="S46" s="304"/>
      <c r="T46" s="144"/>
      <c r="U46" s="206">
        <f ca="1">IF(OR(AC$8=0,SUM(Z47:AC47)=0),1,IF(L46="l","",SUM(AB47:AC47)))</f>
        <v>1</v>
      </c>
      <c r="V46" s="385"/>
      <c r="W46" s="50"/>
    </row>
    <row r="47" spans="3:29" ht="15" customHeight="1" x14ac:dyDescent="0.15">
      <c r="C47" s="186"/>
      <c r="D47" s="213"/>
      <c r="E47" s="188"/>
      <c r="F47" s="226"/>
      <c r="G47" s="296" t="str">
        <f ca="1">IF(L47="b","",IF(L47="l",0,FIXED(F47,K47,0)&amp;M47))</f>
        <v/>
      </c>
      <c r="H47" s="187"/>
      <c r="I47" s="189"/>
      <c r="K47" s="215"/>
      <c r="L47" t="str">
        <f t="shared" ca="1" si="7"/>
        <v>b</v>
      </c>
      <c r="M47" t="str">
        <f>REPT(" ",3-K47)&amp;IF(K47=0," ","")</f>
        <v xml:space="preserve">    </v>
      </c>
      <c r="O47" s="194"/>
      <c r="P47" s="256">
        <f>IF(ISNUMBER(D47),LOOKUP(D47,$AB$5:$AC$7),D47)</f>
        <v>0</v>
      </c>
      <c r="Q47" s="208">
        <f t="shared" si="6"/>
        <v>0</v>
      </c>
      <c r="R47" s="301" t="str">
        <f t="shared" ca="1" si="8"/>
        <v/>
      </c>
      <c r="S47" s="305">
        <f>H47</f>
        <v>0</v>
      </c>
      <c r="T47" s="145"/>
      <c r="U47" s="216">
        <f ca="1">IF(L47="l","",IF(D47+F47&gt;0,SUM(Z47:AA47),-1))</f>
        <v>-1</v>
      </c>
      <c r="V47" s="386"/>
      <c r="W47" s="107"/>
      <c r="Z47" s="114">
        <f>IF(D47&gt;0,0,TRUNC(F47*T47+Y47*X47))</f>
        <v>0</v>
      </c>
      <c r="AA47" t="b">
        <f>IF($D47=1,SUM(Z$13:Z45)-SUM(AA$13:AA45),IF($D47=2,$AA$6,IF($D47=3,TRUNC($AA$6,-3))))</f>
        <v>0</v>
      </c>
      <c r="AB47">
        <f ca="1">IF(OR(AC$8=0,L46="l",D47&gt;0,U47=-1),0,IF(L46="b",-U47,TRUNC(F46*T47)))</f>
        <v>0</v>
      </c>
      <c r="AC47" t="b">
        <f>IF($D47=1,SUM(AB$13:AB45)-SUM(AC$13:AC45),IF($D47=2,$AA$5,IF($D47=3,TRUNC($AA$5,-3))))</f>
        <v>0</v>
      </c>
    </row>
    <row r="48" spans="3:29" ht="15" customHeight="1" x14ac:dyDescent="0.15">
      <c r="C48" s="182"/>
      <c r="D48" s="210"/>
      <c r="E48" s="184"/>
      <c r="F48" s="227"/>
      <c r="G48" s="297" t="str">
        <f ca="1">IF(OR(AC$8=0,L48="b"),"",IF(L48="l",0,"("&amp;FIXED(-F48,K49,0)&amp;M48))</f>
        <v/>
      </c>
      <c r="H48" s="183"/>
      <c r="I48" s="185"/>
      <c r="L48" t="str">
        <f t="shared" ca="1" si="7"/>
        <v>b</v>
      </c>
      <c r="M48" t="str">
        <f>")"&amp;REPT(" ",2-K49)&amp;IF(K49=0," ","")</f>
        <v xml:space="preserve">)   </v>
      </c>
      <c r="O48" s="194"/>
      <c r="P48" s="207">
        <f>D48</f>
        <v>0</v>
      </c>
      <c r="Q48" s="207">
        <f t="shared" si="6"/>
        <v>0</v>
      </c>
      <c r="R48" s="300" t="str">
        <f t="shared" ca="1" si="8"/>
        <v/>
      </c>
      <c r="S48" s="304"/>
      <c r="T48" s="144"/>
      <c r="U48" s="206">
        <f ca="1">IF(OR(AC$8=0,SUM(Z49:AC49)=0),1,IF(L48="l","",SUM(AB49:AC49)))</f>
        <v>1</v>
      </c>
      <c r="V48" s="385"/>
      <c r="W48" s="50"/>
    </row>
    <row r="49" spans="3:29" ht="15" customHeight="1" x14ac:dyDescent="0.15">
      <c r="C49" s="186"/>
      <c r="D49" s="205"/>
      <c r="E49" s="188"/>
      <c r="F49" s="226"/>
      <c r="G49" s="296" t="str">
        <f ca="1">IF(L49="b","",IF(L49="l",0,FIXED(F49,K49,0)&amp;M49))</f>
        <v/>
      </c>
      <c r="H49" s="187"/>
      <c r="I49" s="189"/>
      <c r="K49" s="215"/>
      <c r="L49" t="str">
        <f t="shared" ca="1" si="7"/>
        <v>b</v>
      </c>
      <c r="M49" t="str">
        <f>REPT(" ",3-K49)&amp;IF(K49=0," ","")</f>
        <v xml:space="preserve">    </v>
      </c>
      <c r="O49" s="194"/>
      <c r="P49" s="208">
        <f>IF(ISNUMBER(D49),LOOKUP(D49,$AB$5:$AC$7),D49)</f>
        <v>0</v>
      </c>
      <c r="Q49" s="208">
        <f t="shared" si="6"/>
        <v>0</v>
      </c>
      <c r="R49" s="301" t="str">
        <f t="shared" ca="1" si="8"/>
        <v/>
      </c>
      <c r="S49" s="305">
        <f>H49</f>
        <v>0</v>
      </c>
      <c r="T49" s="145"/>
      <c r="U49" s="216">
        <f ca="1">IF(L49="l","",IF(D49+F49&gt;0,SUM(Z49:AA49),-1))</f>
        <v>-1</v>
      </c>
      <c r="V49" s="386"/>
      <c r="W49" s="107"/>
      <c r="Z49" s="114">
        <f>IF(D49&gt;0,0,TRUNC(F49*T49+Y49*X49))</f>
        <v>0</v>
      </c>
      <c r="AA49" t="b">
        <f>IF($D49=1,SUM(Z$13:Z47)-SUM(AA$13:AA47),IF($D49=2,$AA$6,IF($D49=3,TRUNC($AA$6,-3))))</f>
        <v>0</v>
      </c>
      <c r="AB49">
        <f ca="1">IF(OR(AC$8=0,L48="l",D49&gt;0,U49=-1),0,IF(L48="b",-U49,TRUNC(F48*T49)))</f>
        <v>0</v>
      </c>
      <c r="AC49" t="b">
        <f>IF($D49=1,SUM(AB$13:AB47)-SUM(AC$13:AC47),IF($D49=2,$AA$5,IF($D49=3,TRUNC($AA$5,-3))))</f>
        <v>0</v>
      </c>
    </row>
    <row r="50" spans="3:29" ht="15" customHeight="1" x14ac:dyDescent="0.15">
      <c r="C50" s="182"/>
      <c r="D50" s="210"/>
      <c r="E50" s="184"/>
      <c r="F50" s="227"/>
      <c r="G50" s="297" t="str">
        <f ca="1">IF(OR(AC$8=0,L50="b"),"",IF(L50="l",0,"("&amp;FIXED(-F50,K51,0)&amp;M50))</f>
        <v/>
      </c>
      <c r="H50" s="183"/>
      <c r="I50" s="185"/>
      <c r="L50" t="str">
        <f t="shared" ca="1" si="7"/>
        <v>b</v>
      </c>
      <c r="M50" t="str">
        <f>")"&amp;REPT(" ",2-K51)&amp;IF(K51=0," ","")</f>
        <v xml:space="preserve">)   </v>
      </c>
      <c r="O50" s="194"/>
      <c r="P50" s="207">
        <f>D50</f>
        <v>0</v>
      </c>
      <c r="Q50" s="207">
        <f t="shared" si="6"/>
        <v>0</v>
      </c>
      <c r="R50" s="300" t="str">
        <f t="shared" ca="1" si="8"/>
        <v/>
      </c>
      <c r="S50" s="304"/>
      <c r="T50" s="144"/>
      <c r="U50" s="206">
        <f ca="1">IF(OR(AC$8=0,SUM(Z51:AC51)=0),1,IF(L50="l","",SUM(AB51:AC51)))</f>
        <v>1</v>
      </c>
      <c r="V50" s="385"/>
      <c r="W50" s="50"/>
    </row>
    <row r="51" spans="3:29" ht="15" customHeight="1" x14ac:dyDescent="0.15">
      <c r="C51" s="186"/>
      <c r="D51" s="205"/>
      <c r="E51" s="188"/>
      <c r="F51" s="226"/>
      <c r="G51" s="296" t="str">
        <f ca="1">IF(L51="b","",IF(L51="l",0,FIXED(F51,K51,0)&amp;M51))</f>
        <v/>
      </c>
      <c r="H51" s="187"/>
      <c r="I51" s="189"/>
      <c r="K51" s="215"/>
      <c r="L51" t="str">
        <f t="shared" ca="1" si="7"/>
        <v>b</v>
      </c>
      <c r="M51" t="str">
        <f>REPT(" ",3-K51)&amp;IF(K51=0," ","")</f>
        <v xml:space="preserve">    </v>
      </c>
      <c r="O51" s="194"/>
      <c r="P51" s="208">
        <f>IF(ISNUMBER(D51),LOOKUP(D51,$AB$5:$AC$7),D51)</f>
        <v>0</v>
      </c>
      <c r="Q51" s="208">
        <f t="shared" si="6"/>
        <v>0</v>
      </c>
      <c r="R51" s="301" t="str">
        <f t="shared" ca="1" si="8"/>
        <v/>
      </c>
      <c r="S51" s="305">
        <f>H51</f>
        <v>0</v>
      </c>
      <c r="T51" s="145"/>
      <c r="U51" s="216">
        <f ca="1">IF(L51="l","",IF(D51+F51&gt;0,SUM(Z51:AA51),-1))</f>
        <v>-1</v>
      </c>
      <c r="V51" s="386"/>
      <c r="W51" s="107"/>
      <c r="Z51" s="114">
        <f>IF(D51&gt;0,0,TRUNC(F51*T51+Y51*X51))</f>
        <v>0</v>
      </c>
      <c r="AA51" t="b">
        <f>IF($D51=1,SUM(Z$13:Z49)-SUM(AA$13:AA49),IF($D51=2,$AA$6,IF($D51=3,TRUNC($AA$6,-3))))</f>
        <v>0</v>
      </c>
      <c r="AB51">
        <f ca="1">IF(OR(AC$8=0,L50="l",D51&gt;0,U51=-1),0,IF(L50="b",-U51,TRUNC(F50*T51)))</f>
        <v>0</v>
      </c>
      <c r="AC51" t="b">
        <f>IF($D51=1,SUM(AB$13:AB49)-SUM(AC$13:AC49),IF($D51=2,$AA$5,IF($D51=3,TRUNC($AA$5,-3))))</f>
        <v>0</v>
      </c>
    </row>
    <row r="52" spans="3:29" ht="15" customHeight="1" x14ac:dyDescent="0.15">
      <c r="C52" s="182"/>
      <c r="D52" s="210"/>
      <c r="E52" s="184"/>
      <c r="F52" s="227"/>
      <c r="G52" s="297" t="str">
        <f ca="1">IF(OR(AC$8=0,L52="b"),"",IF(L52="l",0,"("&amp;FIXED(-F52,K53,0)&amp;M52))</f>
        <v/>
      </c>
      <c r="H52" s="183"/>
      <c r="I52" s="185"/>
      <c r="L52" t="str">
        <f t="shared" ca="1" si="7"/>
        <v>b</v>
      </c>
      <c r="M52" t="str">
        <f>")"&amp;REPT(" ",2-K53)&amp;IF(K53=0," ","")</f>
        <v xml:space="preserve">)   </v>
      </c>
      <c r="O52" s="194"/>
      <c r="P52" s="207">
        <f>D52</f>
        <v>0</v>
      </c>
      <c r="Q52" s="207">
        <f t="shared" si="6"/>
        <v>0</v>
      </c>
      <c r="R52" s="300" t="str">
        <f t="shared" ca="1" si="8"/>
        <v/>
      </c>
      <c r="S52" s="304"/>
      <c r="T52" s="144"/>
      <c r="U52" s="206">
        <f ca="1">IF(OR(AC$8=0,SUM(Z53:AC53)=0),1,IF(L52="l","",SUM(AB53:AC53)))</f>
        <v>1</v>
      </c>
      <c r="V52" s="385"/>
      <c r="W52" s="50"/>
    </row>
    <row r="53" spans="3:29" ht="15" customHeight="1" x14ac:dyDescent="0.15">
      <c r="C53" s="186"/>
      <c r="D53" s="205"/>
      <c r="E53" s="188"/>
      <c r="F53" s="226"/>
      <c r="G53" s="296" t="str">
        <f ca="1">IF(L53="b","",IF(L53="l",0,FIXED(F53,K53,0)&amp;M53))</f>
        <v/>
      </c>
      <c r="H53" s="187"/>
      <c r="I53" s="189"/>
      <c r="K53" s="215"/>
      <c r="L53" t="str">
        <f t="shared" ca="1" si="7"/>
        <v>b</v>
      </c>
      <c r="M53" t="str">
        <f>REPT(" ",3-K53)&amp;IF(K53=0," ","")</f>
        <v xml:space="preserve">    </v>
      </c>
      <c r="O53" s="194"/>
      <c r="P53" s="208">
        <f>IF(ISNUMBER(D53),LOOKUP(D53,$AB$5:$AC$7),D53)</f>
        <v>0</v>
      </c>
      <c r="Q53" s="208">
        <f t="shared" si="6"/>
        <v>0</v>
      </c>
      <c r="R53" s="301" t="str">
        <f t="shared" ca="1" si="8"/>
        <v/>
      </c>
      <c r="S53" s="305">
        <f>H53</f>
        <v>0</v>
      </c>
      <c r="T53" s="145"/>
      <c r="U53" s="216">
        <f ca="1">IF(L53="l","",IF(D53+F53&gt;0,SUM(Z53:AA53),-1))</f>
        <v>-1</v>
      </c>
      <c r="V53" s="386"/>
      <c r="W53" s="107"/>
      <c r="Z53" s="114">
        <f>IF(D53&gt;0,0,TRUNC(F53*T53+Y53*X53))</f>
        <v>0</v>
      </c>
      <c r="AA53" t="b">
        <f>IF($D53=1,SUM(Z$13:Z51)-SUM(AA$13:AA51),IF($D53=2,$AA$6,IF($D53=3,TRUNC($AA$6,-3))))</f>
        <v>0</v>
      </c>
      <c r="AB53">
        <f ca="1">IF(OR(AC$8=0,L52="l",D53&gt;0,U53=-1),0,IF(L52="b",-U53,TRUNC(F52*T53)))</f>
        <v>0</v>
      </c>
      <c r="AC53" t="b">
        <f>IF($D53=1,SUM(AB$13:AB51)-SUM(AC$13:AC51),IF($D53=2,$AA$5,IF($D53=3,TRUNC($AA$5,-3))))</f>
        <v>0</v>
      </c>
    </row>
    <row r="54" spans="3:29" ht="15" customHeight="1" x14ac:dyDescent="0.15">
      <c r="C54" s="182"/>
      <c r="D54" s="210"/>
      <c r="E54" s="184"/>
      <c r="F54" s="227"/>
      <c r="G54" s="297" t="str">
        <f ca="1">IF(OR(AC$8=0,L54="b"),"",IF(L54="l",0,"("&amp;FIXED(-F54,K55,0)&amp;M54))</f>
        <v/>
      </c>
      <c r="H54" s="183"/>
      <c r="I54" s="185"/>
      <c r="L54" t="str">
        <f t="shared" ca="1" si="7"/>
        <v>b</v>
      </c>
      <c r="M54" t="str">
        <f>")"&amp;REPT(" ",2-K55)&amp;IF(K55=0," ","")</f>
        <v xml:space="preserve">)   </v>
      </c>
      <c r="O54" s="194"/>
      <c r="P54" s="207">
        <f>D54</f>
        <v>0</v>
      </c>
      <c r="Q54" s="207">
        <f t="shared" si="6"/>
        <v>0</v>
      </c>
      <c r="R54" s="300" t="str">
        <f t="shared" ca="1" si="8"/>
        <v/>
      </c>
      <c r="S54" s="304"/>
      <c r="T54" s="144"/>
      <c r="U54" s="206">
        <f ca="1">IF(OR(AC$8=0,SUM(Z55:AC55)=0),1,IF(L54="l","",SUM(AB55:AC55)))</f>
        <v>1</v>
      </c>
      <c r="V54" s="385"/>
      <c r="W54" s="50"/>
    </row>
    <row r="55" spans="3:29" ht="15" customHeight="1" x14ac:dyDescent="0.15">
      <c r="C55" s="186"/>
      <c r="D55" s="205"/>
      <c r="E55" s="188"/>
      <c r="F55" s="226"/>
      <c r="G55" s="296" t="str">
        <f ca="1">IF(L55="b","",IF(L55="l",0,FIXED(F55,K55,0)&amp;M55))</f>
        <v/>
      </c>
      <c r="H55" s="187"/>
      <c r="I55" s="189"/>
      <c r="K55" s="215"/>
      <c r="L55" t="str">
        <f t="shared" ca="1" si="7"/>
        <v>b</v>
      </c>
      <c r="M55" t="str">
        <f>REPT(" ",3-K55)&amp;IF(K55=0," ","")</f>
        <v xml:space="preserve">    </v>
      </c>
      <c r="O55" s="194"/>
      <c r="P55" s="208">
        <f>IF(ISNUMBER(D55),LOOKUP(D55,$AB$5:$AC$7),D55)</f>
        <v>0</v>
      </c>
      <c r="Q55" s="208">
        <f t="shared" si="6"/>
        <v>0</v>
      </c>
      <c r="R55" s="301" t="str">
        <f t="shared" ca="1" si="8"/>
        <v/>
      </c>
      <c r="S55" s="305">
        <f>H55</f>
        <v>0</v>
      </c>
      <c r="T55" s="145"/>
      <c r="U55" s="216">
        <f ca="1">IF(L55="l","",IF(D55+F55&gt;0,SUM(Z55:AA55),-1))</f>
        <v>-1</v>
      </c>
      <c r="V55" s="386"/>
      <c r="W55" s="107"/>
      <c r="Z55" s="114">
        <f>IF(D55&gt;0,0,TRUNC(F55*T55+Y55*X55))</f>
        <v>0</v>
      </c>
      <c r="AA55" t="b">
        <f>IF($D55=1,SUM(Z$13:Z53)-SUM(AA$13:AA53),IF($D55=2,$AA$6,IF($D55=3,TRUNC($AA$6,-3))))</f>
        <v>0</v>
      </c>
      <c r="AB55">
        <f ca="1">IF(OR(AC$8=0,L54="l",D55&gt;0,U55=-1),0,IF(L54="b",-U55,TRUNC(F54*T55)))</f>
        <v>0</v>
      </c>
      <c r="AC55" t="b">
        <f>IF($D55=1,SUM(AB$13:AB53)-SUM(AC$13:AC53),IF($D55=2,$AA$5,IF($D55=3,TRUNC($AA$5,-3))))</f>
        <v>0</v>
      </c>
    </row>
    <row r="56" spans="3:29" ht="15" customHeight="1" x14ac:dyDescent="0.15">
      <c r="C56" s="182"/>
      <c r="D56" s="210"/>
      <c r="E56" s="184"/>
      <c r="F56" s="227"/>
      <c r="G56" s="297" t="str">
        <f ca="1">IF(OR(AC$8=0,L56="b"),"",IF(L56="l",0,"("&amp;FIXED(-F56,K57,0)&amp;M56))</f>
        <v/>
      </c>
      <c r="H56" s="183"/>
      <c r="I56" s="185"/>
      <c r="L56" t="str">
        <f t="shared" ca="1" si="7"/>
        <v>b</v>
      </c>
      <c r="M56" t="str">
        <f>")"&amp;REPT(" ",2-K57)&amp;IF(K57=0," ","")</f>
        <v xml:space="preserve">)   </v>
      </c>
      <c r="O56" s="194"/>
      <c r="P56" s="207">
        <f>D56</f>
        <v>0</v>
      </c>
      <c r="Q56" s="207">
        <f t="shared" si="6"/>
        <v>0</v>
      </c>
      <c r="R56" s="300" t="str">
        <f t="shared" ca="1" si="8"/>
        <v/>
      </c>
      <c r="S56" s="304"/>
      <c r="T56" s="369"/>
      <c r="U56" s="206">
        <f ca="1">IF(OR(AC$8=0,SUM(Z57:AC57)=0),1,IF(L56="l","",SUM(AB57:AC57)))</f>
        <v>1</v>
      </c>
      <c r="V56" s="387"/>
      <c r="W56" s="50"/>
    </row>
    <row r="57" spans="3:29" ht="15" customHeight="1" x14ac:dyDescent="0.15">
      <c r="C57" s="186"/>
      <c r="D57" s="205"/>
      <c r="E57" s="188"/>
      <c r="F57" s="226"/>
      <c r="G57" s="296" t="str">
        <f ca="1">IF(L57="b","",IF(L57="l",0,FIXED(F57,K57,0)&amp;M57))</f>
        <v/>
      </c>
      <c r="H57" s="187"/>
      <c r="I57" s="189"/>
      <c r="K57" s="215"/>
      <c r="L57" t="str">
        <f t="shared" ca="1" si="7"/>
        <v>b</v>
      </c>
      <c r="M57" t="str">
        <f>REPT(" ",3-K57)&amp;IF(K57=0," ","")</f>
        <v xml:space="preserve">    </v>
      </c>
      <c r="O57" s="194"/>
      <c r="P57" s="208">
        <f>IF(ISNUMBER(D57),LOOKUP(D57,$AB$5:$AC$7),D57)</f>
        <v>0</v>
      </c>
      <c r="Q57" s="208">
        <f t="shared" si="6"/>
        <v>0</v>
      </c>
      <c r="R57" s="301" t="str">
        <f t="shared" ca="1" si="8"/>
        <v/>
      </c>
      <c r="S57" s="305">
        <f>H57</f>
        <v>0</v>
      </c>
      <c r="T57" s="370"/>
      <c r="U57" s="216">
        <f ca="1">IF(L57="l","",IF(D57+F57&gt;0,SUM(Z57:AA57),-1))</f>
        <v>-1</v>
      </c>
      <c r="V57" s="388"/>
      <c r="W57" s="107"/>
      <c r="Z57" s="114">
        <f>IF(D57&gt;0,0,TRUNC(F57*T57+Y57*X57))</f>
        <v>0</v>
      </c>
      <c r="AA57" t="b">
        <f>IF($D57=1,SUM(Z$13:Z55)-SUM(AA$13:AA55),IF($D57=2,$AA$6,IF($D57=3,TRUNC($AA$6,-3))))</f>
        <v>0</v>
      </c>
      <c r="AB57">
        <f ca="1">IF(OR(AC$8=0,L56="l",D57&gt;0,U57=-1),0,IF(L56="b",-U57,TRUNC(F56*T57)))</f>
        <v>0</v>
      </c>
      <c r="AC57" t="b">
        <f>IF($D57=1,SUM(AB$13:AB55)-SUM(AC$13:AC55),IF($D57=2,$AA$5,IF($D57=3,TRUNC($AA$5,-3))))</f>
        <v>0</v>
      </c>
    </row>
    <row r="58" spans="3:29" ht="15" customHeight="1" x14ac:dyDescent="0.15">
      <c r="C58" s="182"/>
      <c r="D58" s="210"/>
      <c r="E58" s="184"/>
      <c r="F58" s="227"/>
      <c r="G58" s="297" t="str">
        <f ca="1">IF(OR(AC$8=0,L58="b"),"",IF(L58="l",0,"("&amp;FIXED(-F58,K59,0)&amp;M58))</f>
        <v/>
      </c>
      <c r="H58" s="183"/>
      <c r="I58" s="185"/>
      <c r="L58" t="str">
        <f t="shared" ca="1" si="7"/>
        <v>b</v>
      </c>
      <c r="M58" t="str">
        <f>")"&amp;REPT(" ",2-K59)&amp;IF(K59=0," ","")</f>
        <v xml:space="preserve">)   </v>
      </c>
      <c r="O58" s="194"/>
      <c r="P58" s="207">
        <f>D58</f>
        <v>0</v>
      </c>
      <c r="Q58" s="207">
        <f t="shared" si="6"/>
        <v>0</v>
      </c>
      <c r="R58" s="300" t="str">
        <f t="shared" ca="1" si="8"/>
        <v/>
      </c>
      <c r="S58" s="304"/>
      <c r="T58" s="369"/>
      <c r="U58" s="206">
        <f ca="1">IF(OR(AC$8=0,SUM(Z59:AC59)=0),1,IF(L58="l","",SUM(AB59:AC59)))</f>
        <v>1</v>
      </c>
      <c r="V58" s="387"/>
      <c r="W58" s="50"/>
    </row>
    <row r="59" spans="3:29" ht="15" customHeight="1" x14ac:dyDescent="0.15">
      <c r="C59" s="186"/>
      <c r="D59" s="205"/>
      <c r="E59" s="188"/>
      <c r="F59" s="226"/>
      <c r="G59" s="296" t="str">
        <f ca="1">IF(L59="b","",IF(L59="l",0,FIXED(F59,K59,0)&amp;M59))</f>
        <v/>
      </c>
      <c r="H59" s="187"/>
      <c r="I59" s="189"/>
      <c r="K59" s="215"/>
      <c r="L59" t="str">
        <f t="shared" ca="1" si="7"/>
        <v>b</v>
      </c>
      <c r="M59" t="str">
        <f>REPT(" ",3-K59)&amp;IF(K59=0," ","")</f>
        <v xml:space="preserve">    </v>
      </c>
      <c r="O59" s="194"/>
      <c r="P59" s="208">
        <f>IF(ISNUMBER(D59),LOOKUP(D59,$AB$5:$AC$7),D59)</f>
        <v>0</v>
      </c>
      <c r="Q59" s="208">
        <f t="shared" si="6"/>
        <v>0</v>
      </c>
      <c r="R59" s="301" t="str">
        <f t="shared" ca="1" si="8"/>
        <v/>
      </c>
      <c r="S59" s="305">
        <f>H59</f>
        <v>0</v>
      </c>
      <c r="T59" s="370"/>
      <c r="U59" s="216">
        <f ca="1">IF(L59="l","",IF(D59+F59&gt;0,SUM(Z59:AA59),-1))</f>
        <v>-1</v>
      </c>
      <c r="V59" s="388"/>
      <c r="W59" s="107"/>
      <c r="Z59" s="114">
        <f>IF(D59&gt;0,0,TRUNC(F59*T59+Y59*X59))</f>
        <v>0</v>
      </c>
      <c r="AA59" t="b">
        <f>IF($D59=1,SUM(Z$13:Z57)-SUM(AA$13:AA57),IF($D59=2,$AA$6,IF($D59=3,TRUNC($AA$6,-3))))</f>
        <v>0</v>
      </c>
      <c r="AB59">
        <f ca="1">IF(OR(AC$8=0,L58="l",D59&gt;0,U59=-1),0,IF(L58="b",-U59,TRUNC(F58*T59)))</f>
        <v>0</v>
      </c>
      <c r="AC59" t="b">
        <f>IF($D59=1,SUM(AB$13:AB57)-SUM(AC$13:AC57),IF($D59=2,$AA$5,IF($D59=3,TRUNC($AA$5,-3))))</f>
        <v>0</v>
      </c>
    </row>
    <row r="60" spans="3:29" ht="15" customHeight="1" x14ac:dyDescent="0.15">
      <c r="C60" s="182"/>
      <c r="D60" s="210"/>
      <c r="E60" s="184"/>
      <c r="F60" s="227"/>
      <c r="G60" s="297" t="str">
        <f ca="1">IF(OR(AC$8=0,L60="b"),"",IF(L60="l",0,"("&amp;FIXED(-F60,K61,0)&amp;M60))</f>
        <v/>
      </c>
      <c r="H60" s="183"/>
      <c r="I60" s="185"/>
      <c r="L60" t="str">
        <f t="shared" ca="1" si="7"/>
        <v>b</v>
      </c>
      <c r="M60" t="str">
        <f>")"&amp;REPT(" ",2-K61)&amp;IF(K61=0," ","")</f>
        <v xml:space="preserve">)   </v>
      </c>
      <c r="O60" s="194"/>
      <c r="P60" s="207">
        <f>D60</f>
        <v>0</v>
      </c>
      <c r="Q60" s="207">
        <f t="shared" si="6"/>
        <v>0</v>
      </c>
      <c r="R60" s="300" t="str">
        <f t="shared" ca="1" si="8"/>
        <v/>
      </c>
      <c r="S60" s="304"/>
      <c r="T60" s="369"/>
      <c r="U60" s="206">
        <f ca="1">IF(OR(AC$8=0,SUM(Z61:AC61)=0),1,IF(L60="l","",SUM(AB61:AC61)))</f>
        <v>1</v>
      </c>
      <c r="V60" s="387"/>
      <c r="W60" s="50"/>
    </row>
    <row r="61" spans="3:29" ht="15" customHeight="1" x14ac:dyDescent="0.15">
      <c r="C61" s="186"/>
      <c r="D61" s="205"/>
      <c r="E61" s="188"/>
      <c r="F61" s="226"/>
      <c r="G61" s="296" t="str">
        <f ca="1">IF(L61="b","",IF(L61="l",0,FIXED(F61,K61,0)&amp;M61))</f>
        <v/>
      </c>
      <c r="H61" s="187"/>
      <c r="I61" s="189"/>
      <c r="K61" s="215"/>
      <c r="L61" t="str">
        <f t="shared" ca="1" si="7"/>
        <v>b</v>
      </c>
      <c r="M61" t="str">
        <f>REPT(" ",3-K61)&amp;IF(K61=0," ","")</f>
        <v xml:space="preserve">    </v>
      </c>
      <c r="O61" s="194"/>
      <c r="P61" s="208">
        <f>IF(ISNUMBER(D61),LOOKUP(D61,$AB$5:$AC$7),D61)</f>
        <v>0</v>
      </c>
      <c r="Q61" s="208">
        <f t="shared" si="6"/>
        <v>0</v>
      </c>
      <c r="R61" s="301" t="str">
        <f t="shared" ca="1" si="8"/>
        <v/>
      </c>
      <c r="S61" s="305">
        <f>H61</f>
        <v>0</v>
      </c>
      <c r="T61" s="370"/>
      <c r="U61" s="216">
        <f ca="1">IF(L61="l","",IF(D61+F61&gt;0,SUM(Z61:AA61),-1))</f>
        <v>-1</v>
      </c>
      <c r="V61" s="388"/>
      <c r="W61" s="107"/>
      <c r="Z61" s="114">
        <f>IF(D61&gt;0,0,TRUNC(F61*T61+Y61*X61))</f>
        <v>0</v>
      </c>
      <c r="AA61" t="b">
        <f>IF($D61=1,SUM(Z$13:Z59)-SUM(AA$13:AA59),IF($D61=2,$AA$6,IF($D61=3,TRUNC($AA$6,-3))))</f>
        <v>0</v>
      </c>
      <c r="AB61">
        <f ca="1">IF(OR(AC$8=0,L60="l",D61&gt;0,U61=-1),0,IF(L60="b",-U61,TRUNC(F60*T61)))</f>
        <v>0</v>
      </c>
      <c r="AC61" t="b">
        <f>IF($D61=1,SUM(AB$13:AB59)-SUM(AC$13:AC59),IF($D61=2,$AA$5,IF($D61=3,TRUNC($AA$5,-3))))</f>
        <v>0</v>
      </c>
    </row>
    <row r="62" spans="3:29" ht="15" customHeight="1" x14ac:dyDescent="0.15">
      <c r="C62" s="182"/>
      <c r="D62" s="210"/>
      <c r="E62" s="184"/>
      <c r="F62" s="227"/>
      <c r="G62" s="297" t="str">
        <f ca="1">IF(OR(AC$8=0,L62="b"),"",IF(L62="l",0,"("&amp;FIXED(-F62,K63,0)&amp;M62))</f>
        <v/>
      </c>
      <c r="H62" s="183"/>
      <c r="I62" s="185"/>
      <c r="L62" t="str">
        <f t="shared" ca="1" si="7"/>
        <v>b</v>
      </c>
      <c r="M62" t="str">
        <f>")"&amp;REPT(" ",2-K63)&amp;IF(K63=0," ","")</f>
        <v xml:space="preserve">)   </v>
      </c>
      <c r="O62" s="194"/>
      <c r="P62" s="207">
        <f>D62</f>
        <v>0</v>
      </c>
      <c r="Q62" s="207">
        <f t="shared" si="6"/>
        <v>0</v>
      </c>
      <c r="R62" s="300" t="str">
        <f t="shared" ca="1" si="8"/>
        <v/>
      </c>
      <c r="S62" s="304"/>
      <c r="T62" s="369"/>
      <c r="U62" s="206">
        <f ca="1">IF(OR(AC$8=0,SUM(Z63:AC63)=0),1,IF(L62="l","",SUM(AB63:AC63)))</f>
        <v>1</v>
      </c>
      <c r="V62" s="387"/>
      <c r="W62" s="50"/>
    </row>
    <row r="63" spans="3:29" ht="15" customHeight="1" x14ac:dyDescent="0.15">
      <c r="C63" s="186"/>
      <c r="D63" s="205"/>
      <c r="E63" s="188"/>
      <c r="F63" s="226"/>
      <c r="G63" s="296" t="str">
        <f ca="1">IF(L63="b","",IF(L63="l",0,FIXED(F63,K63,0)&amp;M63))</f>
        <v/>
      </c>
      <c r="H63" s="187"/>
      <c r="I63" s="189"/>
      <c r="K63" s="215"/>
      <c r="L63" t="str">
        <f t="shared" ca="1" si="7"/>
        <v>b</v>
      </c>
      <c r="M63" t="str">
        <f>REPT(" ",3-K63)&amp;IF(K63=0," ","")</f>
        <v xml:space="preserve">    </v>
      </c>
      <c r="O63" s="194"/>
      <c r="P63" s="208">
        <f>IF(ISNUMBER(D63),LOOKUP(D63,$AB$5:$AC$7),D63)</f>
        <v>0</v>
      </c>
      <c r="Q63" s="208">
        <f t="shared" si="6"/>
        <v>0</v>
      </c>
      <c r="R63" s="301" t="str">
        <f t="shared" ca="1" si="8"/>
        <v/>
      </c>
      <c r="S63" s="305">
        <f>H63</f>
        <v>0</v>
      </c>
      <c r="T63" s="370"/>
      <c r="U63" s="216">
        <f ca="1">IF(L63="l","",IF(D63+F63&gt;0,SUM(Z63:AA63),-1))</f>
        <v>-1</v>
      </c>
      <c r="V63" s="388"/>
      <c r="W63" s="107"/>
      <c r="Z63" s="114">
        <f>IF(D63&gt;0,0,TRUNC(F63*T63+Y63*X63))</f>
        <v>0</v>
      </c>
      <c r="AA63" t="b">
        <f>IF($D63=1,SUM(Z$13:Z61)-SUM(AA$13:AA61),IF($D63=2,$AA$6,IF($D63=3,TRUNC($AA$6,-3))))</f>
        <v>0</v>
      </c>
      <c r="AB63">
        <f ca="1">IF(OR(AC$8=0,L62="l",D63&gt;0,U63=-1),0,IF(L62="b",-U63,TRUNC(F62*T63)))</f>
        <v>0</v>
      </c>
      <c r="AC63" t="b">
        <f>IF($D63=1,SUM(AB$13:AB61)-SUM(AC$13:AC61),IF($D63=2,$AA$5,IF($D63=3,TRUNC($AA$5,-3))))</f>
        <v>0</v>
      </c>
    </row>
    <row r="64" spans="3:29" ht="15" customHeight="1" x14ac:dyDescent="0.15">
      <c r="C64" s="182"/>
      <c r="D64" s="210"/>
      <c r="E64" s="184"/>
      <c r="F64" s="227"/>
      <c r="G64" s="297" t="str">
        <f ca="1">IF(OR(AC$8=0,L64="b"),"",IF(L64="l",0,"("&amp;FIXED(-F64,K65,0)&amp;M64))</f>
        <v/>
      </c>
      <c r="H64" s="183"/>
      <c r="I64" s="185"/>
      <c r="L64" t="str">
        <f t="shared" ca="1" si="7"/>
        <v>b</v>
      </c>
      <c r="M64" t="str">
        <f>")"&amp;REPT(" ",2-K65)&amp;IF(K65=0," ","")</f>
        <v xml:space="preserve">)   </v>
      </c>
      <c r="O64" s="194"/>
      <c r="P64" s="207">
        <f>D64</f>
        <v>0</v>
      </c>
      <c r="Q64" s="207">
        <f t="shared" si="6"/>
        <v>0</v>
      </c>
      <c r="R64" s="300" t="str">
        <f t="shared" ca="1" si="8"/>
        <v/>
      </c>
      <c r="S64" s="304"/>
      <c r="T64" s="369"/>
      <c r="U64" s="206">
        <f ca="1">IF(OR(AC$8=0,SUM(Z65:AC65)=0),1,IF(L64="l","",SUM(AB65:AC65)))</f>
        <v>1</v>
      </c>
      <c r="V64" s="387"/>
      <c r="W64" s="50"/>
    </row>
    <row r="65" spans="1:29" ht="15" customHeight="1" x14ac:dyDescent="0.15">
      <c r="C65" s="186"/>
      <c r="D65" s="205"/>
      <c r="E65" s="188"/>
      <c r="F65" s="226"/>
      <c r="G65" s="296" t="str">
        <f ca="1">IF(L65="b","",IF(L65="l",0,FIXED(F65,K65,0)&amp;M65))</f>
        <v/>
      </c>
      <c r="H65" s="187"/>
      <c r="I65" s="189"/>
      <c r="K65" s="215"/>
      <c r="L65" t="str">
        <f t="shared" ca="1" si="7"/>
        <v>b</v>
      </c>
      <c r="M65" t="str">
        <f>REPT(" ",3-K65)&amp;IF(K65=0," ","")</f>
        <v xml:space="preserve">    </v>
      </c>
      <c r="O65" s="194"/>
      <c r="P65" s="208">
        <f>IF(ISNUMBER(D65),LOOKUP(D65,$AB$5:$AC$7),D65)</f>
        <v>0</v>
      </c>
      <c r="Q65" s="208">
        <f t="shared" si="6"/>
        <v>0</v>
      </c>
      <c r="R65" s="301" t="str">
        <f t="shared" ca="1" si="8"/>
        <v/>
      </c>
      <c r="S65" s="305">
        <f>H65</f>
        <v>0</v>
      </c>
      <c r="T65" s="370"/>
      <c r="U65" s="216">
        <f ca="1">IF(L65="l","",IF(D65+F65&gt;0,SUM(Z65:AA65),-1))</f>
        <v>-1</v>
      </c>
      <c r="V65" s="388"/>
      <c r="W65" s="107"/>
      <c r="Z65" s="114">
        <f>IF(D65&gt;0,0,TRUNC(F65*T65+Y65*X65))</f>
        <v>0</v>
      </c>
      <c r="AA65" t="b">
        <f>IF($D65=1,SUM(Z$13:Z63)-SUM(AA$13:AA63),IF($D65=2,$AA$6,IF($D65=3,TRUNC($AA$6,-3))))</f>
        <v>0</v>
      </c>
      <c r="AB65">
        <f ca="1">IF(OR(AC$8=0,L64="l",D65&gt;0,U65=-1),0,IF(L64="b",-U65,TRUNC(F64*T65)))</f>
        <v>0</v>
      </c>
      <c r="AC65" t="b">
        <f>IF($D65=1,SUM(AB$13:AB63)-SUM(AC$13:AC63),IF($D65=2,$AA$5,IF($D65=3,TRUNC($AA$5,-3))))</f>
        <v>0</v>
      </c>
    </row>
    <row r="66" spans="1:29" ht="15" customHeight="1" x14ac:dyDescent="0.15">
      <c r="C66" s="182"/>
      <c r="D66" s="210"/>
      <c r="E66" s="184"/>
      <c r="F66" s="227"/>
      <c r="G66" s="297" t="str">
        <f ca="1">IF(OR(AC$8=0,L66="b"),"",IF(L66="l",0,"("&amp;FIXED(-F66,K67,0)&amp;M66))</f>
        <v/>
      </c>
      <c r="H66" s="183"/>
      <c r="I66" s="185"/>
      <c r="L66" t="str">
        <f t="shared" ca="1" si="7"/>
        <v>b</v>
      </c>
      <c r="M66" t="str">
        <f>")"&amp;REPT(" ",2-K67)&amp;IF(K67=0," ","")</f>
        <v xml:space="preserve">)   </v>
      </c>
      <c r="O66" s="194"/>
      <c r="P66" s="207">
        <f>D66</f>
        <v>0</v>
      </c>
      <c r="Q66" s="207">
        <f>E66</f>
        <v>0</v>
      </c>
      <c r="R66" s="300" t="str">
        <f t="shared" ca="1" si="8"/>
        <v/>
      </c>
      <c r="S66" s="304"/>
      <c r="T66" s="144"/>
      <c r="U66" s="206">
        <f ca="1">IF(OR(AC$8=0,SUM(Z67:AC67)=0),1,IF(L66="l","",SUM(AB67:AC67)))</f>
        <v>1</v>
      </c>
      <c r="V66" s="385"/>
      <c r="W66" s="50"/>
    </row>
    <row r="67" spans="1:29" ht="15" customHeight="1" x14ac:dyDescent="0.15">
      <c r="C67" s="186"/>
      <c r="D67" s="205"/>
      <c r="E67" s="188"/>
      <c r="F67" s="226"/>
      <c r="G67" s="296" t="str">
        <f ca="1">IF(L67="b","",IF(L67="l",0,FIXED(F67,K67,0)&amp;M67))</f>
        <v/>
      </c>
      <c r="H67" s="187"/>
      <c r="I67" s="189"/>
      <c r="K67" s="215"/>
      <c r="L67" t="str">
        <f t="shared" ca="1" si="7"/>
        <v>b</v>
      </c>
      <c r="M67" t="str">
        <f>REPT(" ",3-K67)&amp;IF(K67=0," ","")</f>
        <v xml:space="preserve">    </v>
      </c>
      <c r="O67" s="194"/>
      <c r="P67" s="208">
        <f>IF(ISNUMBER(D67),LOOKUP(D67,$AB$5:$AC$7),D67)</f>
        <v>0</v>
      </c>
      <c r="Q67" s="208">
        <f t="shared" ref="Q67:Q73" si="9">E67</f>
        <v>0</v>
      </c>
      <c r="R67" s="301" t="str">
        <f t="shared" ca="1" si="8"/>
        <v/>
      </c>
      <c r="S67" s="305">
        <f>H67</f>
        <v>0</v>
      </c>
      <c r="T67" s="145"/>
      <c r="U67" s="216">
        <f ca="1">IF(L67="l","",IF(D67+F67&gt;0,SUM(Z67:AA67),-1))</f>
        <v>-1</v>
      </c>
      <c r="V67" s="386"/>
      <c r="W67" s="107"/>
      <c r="Z67" s="114">
        <f>IF(D67&gt;0,0,TRUNC(F67*T67+Y67*X67))</f>
        <v>0</v>
      </c>
      <c r="AA67" t="b">
        <f>IF($D67=1,SUM(Z$13:Z65)-SUM(AA$13:AA65),IF($D67=2,$AA$6,IF($D67=3,TRUNC($AA$6,-3))))</f>
        <v>0</v>
      </c>
      <c r="AB67">
        <f ca="1">IF(OR(AC$8=0,L66="l",D67&gt;0,U67=-1),0,IF(L66="b",-U67,TRUNC(F66*T67)))</f>
        <v>0</v>
      </c>
      <c r="AC67" t="b">
        <f>IF($D67=1,SUM(AB$13:AB65)-SUM(AC$13:AC65),IF($D67=2,$AA$5,IF($D67=3,TRUNC($AA$5,-3))))</f>
        <v>0</v>
      </c>
    </row>
    <row r="68" spans="1:29" ht="15" customHeight="1" x14ac:dyDescent="0.15">
      <c r="C68" s="182"/>
      <c r="D68" s="210"/>
      <c r="E68" s="184"/>
      <c r="F68" s="227"/>
      <c r="G68" s="297" t="str">
        <f ca="1">IF(OR(AC$8=0,L68="b"),"",IF(L68="l",0,"("&amp;FIXED(-F68,K69,0)&amp;M68))</f>
        <v/>
      </c>
      <c r="H68" s="183"/>
      <c r="I68" s="185"/>
      <c r="L68" t="str">
        <f t="shared" ref="L68:L73" ca="1" si="10">CELL("type",F68)</f>
        <v>b</v>
      </c>
      <c r="M68" t="str">
        <f>")"&amp;REPT(" ",2-K69)&amp;IF(K69=0," ","")</f>
        <v xml:space="preserve">)   </v>
      </c>
      <c r="O68" s="194"/>
      <c r="P68" s="207">
        <f>D68</f>
        <v>0</v>
      </c>
      <c r="Q68" s="207">
        <f t="shared" si="9"/>
        <v>0</v>
      </c>
      <c r="R68" s="300" t="str">
        <f t="shared" ref="R68:R73" ca="1" si="11">G68</f>
        <v/>
      </c>
      <c r="S68" s="304"/>
      <c r="T68" s="369"/>
      <c r="U68" s="206">
        <f ca="1">IF(OR(AC$8=0,SUM(Z69:AC69)=0),1,IF(L68="l","",SUM(AB69:AC69)))</f>
        <v>1</v>
      </c>
      <c r="V68" s="387"/>
      <c r="W68" s="50"/>
    </row>
    <row r="69" spans="1:29" ht="15" customHeight="1" x14ac:dyDescent="0.15">
      <c r="C69" s="186"/>
      <c r="D69" s="205">
        <v>2</v>
      </c>
      <c r="E69" s="188"/>
      <c r="F69" s="226"/>
      <c r="G69" s="296" t="str">
        <f ca="1">IF(L69="b","",IF(L69="l",0,FIXED(F69,K69,0)&amp;M69))</f>
        <v/>
      </c>
      <c r="H69" s="187"/>
      <c r="I69" s="189"/>
      <c r="K69" s="215"/>
      <c r="L69" t="str">
        <f t="shared" ca="1" si="10"/>
        <v>b</v>
      </c>
      <c r="M69" t="str">
        <f>REPT(" ",3-K69)&amp;IF(K69=0," ","")</f>
        <v xml:space="preserve">    </v>
      </c>
      <c r="O69" s="194"/>
      <c r="P69" s="208" t="str">
        <f>IF(ISNUMBER(D69),LOOKUP(D69,$AB$5:$AC$7),D69)</f>
        <v>合　　　計</v>
      </c>
      <c r="Q69" s="208">
        <f t="shared" si="9"/>
        <v>0</v>
      </c>
      <c r="R69" s="301" t="str">
        <f t="shared" ca="1" si="11"/>
        <v/>
      </c>
      <c r="S69" s="305">
        <f>H69</f>
        <v>0</v>
      </c>
      <c r="T69" s="370"/>
      <c r="U69" s="216">
        <f ca="1">IF(L69="l","",IF(D69+F69&gt;0,SUM(Z69:AA69),-1))</f>
        <v>2334</v>
      </c>
      <c r="V69" s="388"/>
      <c r="W69" s="107"/>
      <c r="Z69" s="114">
        <f>IF(D69&gt;0,0,TRUNC(F69*T69+Y69*X69))</f>
        <v>0</v>
      </c>
      <c r="AA69">
        <f ca="1">IF($D69=1,SUM(Z$13:Z67)-SUM(AA$13:AA67),IF($D69=2,$AA$6,IF($D69=3,TRUNC($AA$6,-3))))</f>
        <v>2334</v>
      </c>
      <c r="AB69">
        <f ca="1">IF(OR(AC$8=0,L68="l",D69&gt;0,U69=-1),0,IF(L68="b",-U69,TRUNC(F68*T69)))</f>
        <v>0</v>
      </c>
      <c r="AC69">
        <f ca="1">IF($D69=1,SUM(AB$13:AB67)-SUM(AC$13:AC67),IF($D69=2,$AA$5,IF($D69=3,TRUNC($AA$5,-3))))</f>
        <v>0</v>
      </c>
    </row>
    <row r="70" spans="1:29" ht="15" customHeight="1" x14ac:dyDescent="0.15">
      <c r="C70" s="182"/>
      <c r="D70" s="210"/>
      <c r="E70" s="184"/>
      <c r="F70" s="225"/>
      <c r="G70" s="297" t="str">
        <f ca="1">IF(OR(AC$8=0,L70="b"),"",IF(L70="l",0,"("&amp;FIXED(-F70,K71,0)&amp;M70))</f>
        <v/>
      </c>
      <c r="H70" s="183"/>
      <c r="I70" s="185"/>
      <c r="L70" t="str">
        <f t="shared" ca="1" si="10"/>
        <v>b</v>
      </c>
      <c r="M70" t="str">
        <f>")"&amp;REPT(" ",2-K71)&amp;IF(K71=0," ","")</f>
        <v xml:space="preserve">)   </v>
      </c>
      <c r="O70" s="194"/>
      <c r="P70" s="207">
        <f>D70</f>
        <v>0</v>
      </c>
      <c r="Q70" s="207">
        <f t="shared" si="9"/>
        <v>0</v>
      </c>
      <c r="R70" s="300" t="str">
        <f t="shared" ca="1" si="11"/>
        <v/>
      </c>
      <c r="S70" s="304"/>
      <c r="T70" s="144"/>
      <c r="U70" s="206">
        <f ca="1">IF(OR(AC$8=0,SUM(Z71:AC71)=0),1,IF(L70="l","",SUM(AB71:AC71)))</f>
        <v>1</v>
      </c>
      <c r="V70" s="385"/>
      <c r="W70" s="50"/>
    </row>
    <row r="71" spans="1:29" ht="15" customHeight="1" x14ac:dyDescent="0.15">
      <c r="C71" s="186"/>
      <c r="D71" s="205">
        <v>3</v>
      </c>
      <c r="E71" s="188"/>
      <c r="F71" s="226"/>
      <c r="G71" s="296" t="str">
        <f ca="1">IF(L71="b","",IF(L71="l",0,FIXED(F71,K71,0)&amp;M71))</f>
        <v/>
      </c>
      <c r="H71" s="187"/>
      <c r="I71" s="189"/>
      <c r="K71" s="215"/>
      <c r="L71" t="str">
        <f t="shared" ca="1" si="10"/>
        <v>b</v>
      </c>
      <c r="M71" t="str">
        <f>REPT(" ",3-K71)&amp;IF(K71=0," ","")</f>
        <v xml:space="preserve">    </v>
      </c>
      <c r="O71" s="194"/>
      <c r="P71" s="208" t="str">
        <f>IF(ISNUMBER(D71),LOOKUP(D71,$AB$5:$AC$7),D71)</f>
        <v>改　　　め</v>
      </c>
      <c r="Q71" s="208">
        <f t="shared" si="9"/>
        <v>0</v>
      </c>
      <c r="R71" s="301" t="str">
        <f t="shared" ca="1" si="11"/>
        <v/>
      </c>
      <c r="S71" s="305">
        <f>H71</f>
        <v>0</v>
      </c>
      <c r="T71" s="145"/>
      <c r="U71" s="216">
        <f ca="1">IF(L71="l","",IF(D71+F71&gt;0,SUM(Z71:AA71),-1))</f>
        <v>2000</v>
      </c>
      <c r="V71" s="386"/>
      <c r="W71" s="107"/>
      <c r="Z71" s="114">
        <f>IF(D71&gt;0,0,TRUNC(F71*T71+Y71*X71))</f>
        <v>0</v>
      </c>
      <c r="AA71">
        <f ca="1">IF($D71=1,SUM(Z$13:Z69)-SUM(AA$13:AA69),IF($D71=2,$AA$6,IF($D71=3,TRUNC($AA$6,-3))))</f>
        <v>2000</v>
      </c>
      <c r="AB71">
        <f ca="1">IF(OR(AC$8=0,L70="l",D71&gt;0,U71=-1),0,IF(L70="b",-U71,TRUNC(F70*T71)))</f>
        <v>0</v>
      </c>
      <c r="AC71">
        <f ca="1">IF($D71=1,SUM(AB$13:AB69)-SUM(AC$13:AC69),IF($D71=2,$AA$5,IF($D71=3,TRUNC($AA$5,-3))))</f>
        <v>0</v>
      </c>
    </row>
    <row r="72" spans="1:29" ht="15" customHeight="1" x14ac:dyDescent="0.15">
      <c r="C72" s="182"/>
      <c r="D72" s="210"/>
      <c r="E72" s="184"/>
      <c r="F72" s="225"/>
      <c r="G72" s="297" t="str">
        <f ca="1">IF(OR(AC$8=0,L72="b"),"",IF(L72="l",0,"("&amp;FIXED(-F72,K73,0)&amp;M72))</f>
        <v/>
      </c>
      <c r="H72" s="183"/>
      <c r="I72" s="185"/>
      <c r="L72" t="str">
        <f t="shared" ca="1" si="10"/>
        <v>b</v>
      </c>
      <c r="M72" t="str">
        <f>")"&amp;REPT(" ",2-K73)&amp;IF(K73=0," ","")</f>
        <v xml:space="preserve">)   </v>
      </c>
      <c r="O72" s="194"/>
      <c r="P72" s="207">
        <f>D72</f>
        <v>0</v>
      </c>
      <c r="Q72" s="207">
        <f t="shared" si="9"/>
        <v>0</v>
      </c>
      <c r="R72" s="300" t="str">
        <f t="shared" ca="1" si="11"/>
        <v/>
      </c>
      <c r="S72" s="304"/>
      <c r="T72" s="144"/>
      <c r="U72" s="206">
        <f ca="1">IF(OR(AC$8=0,SUM(Z73:AC73)=0),1,IF(L72="l","",SUM(AB73:AC73)))</f>
        <v>1</v>
      </c>
      <c r="V72" s="385"/>
      <c r="W72" s="50"/>
    </row>
    <row r="73" spans="1:29" ht="15" customHeight="1" thickBot="1" x14ac:dyDescent="0.2">
      <c r="C73" s="190"/>
      <c r="D73" s="211"/>
      <c r="E73" s="192"/>
      <c r="F73" s="228"/>
      <c r="G73" s="298" t="str">
        <f ca="1">IF(L73="b","",IF(L73="l",0,FIXED(F73,K73,0)&amp;M73))</f>
        <v/>
      </c>
      <c r="H73" s="191"/>
      <c r="I73" s="193"/>
      <c r="K73" s="215"/>
      <c r="L73" t="str">
        <f t="shared" ca="1" si="10"/>
        <v>b</v>
      </c>
      <c r="M73" t="str">
        <f>REPT(" ",3-K73)&amp;IF(K73=0," ","")</f>
        <v xml:space="preserve">    </v>
      </c>
      <c r="O73" s="254"/>
      <c r="P73" s="209">
        <f>IF(ISNUMBER(D73),LOOKUP(D73,$AB$5:$AC$7),D73)</f>
        <v>0</v>
      </c>
      <c r="Q73" s="209">
        <f t="shared" si="9"/>
        <v>0</v>
      </c>
      <c r="R73" s="302" t="str">
        <f t="shared" ca="1" si="11"/>
        <v/>
      </c>
      <c r="S73" s="306">
        <f>H73</f>
        <v>0</v>
      </c>
      <c r="T73" s="146"/>
      <c r="U73" s="217">
        <f ca="1">IF(L73="l","",IF(D73+F73&gt;0,SUM(Z73:AA73),-1))</f>
        <v>-1</v>
      </c>
      <c r="V73" s="389"/>
      <c r="W73" s="55"/>
      <c r="Z73" s="114">
        <f>IF(D73&gt;0,0,TRUNC(F73*T73+Y73*X73))</f>
        <v>0</v>
      </c>
      <c r="AA73" t="b">
        <f>IF($D73=1,SUM(Z$13:Z71)-SUM(AA$13:AA71),IF($D73=2,$AA$6,IF($D73=3,TRUNC($AA$6,-3))))</f>
        <v>0</v>
      </c>
      <c r="AB73">
        <f ca="1">IF(OR(AC$8=0,L72="l",D73&gt;0,U73=-1),0,IF(L72="b",-U73,TRUNC(F72*T73)))</f>
        <v>0</v>
      </c>
      <c r="AC73" t="b">
        <f>IF($D73=1,SUM(AB$13:AB71)-SUM(AC$13:AC71),IF($D73=2,$AA$5,IF($D73=3,TRUNC($AA$5,-3))))</f>
        <v>0</v>
      </c>
    </row>
    <row r="74" spans="1:29" ht="13.5" customHeight="1" thickBot="1" x14ac:dyDescent="0.2">
      <c r="A74" s="257" t="b">
        <f>SUM(F79:F141)&gt;0</f>
        <v>0</v>
      </c>
      <c r="B74" s="257"/>
      <c r="C74" s="257"/>
      <c r="D74" s="257"/>
      <c r="E74" s="257"/>
      <c r="F74" s="257"/>
      <c r="G74" s="100" t="s">
        <v>371</v>
      </c>
      <c r="H74" s="257"/>
      <c r="I74" s="257" t="str">
        <f ca="1">"( "&amp;FIXED(SUM(A$8:A74),0)&amp;" ／ "&amp;FIXED(B$8,0)&amp;" )"</f>
        <v>( 1 ／ 1 )</v>
      </c>
      <c r="J74" s="257"/>
      <c r="K74" s="257"/>
      <c r="L74" s="257"/>
      <c r="M74" s="257"/>
      <c r="N74" s="257"/>
      <c r="O74" s="257"/>
      <c r="P74" s="257"/>
      <c r="Q74" s="257"/>
      <c r="R74" s="257"/>
      <c r="S74" s="257"/>
      <c r="T74" s="257"/>
      <c r="U74" s="258" t="str">
        <f>G74</f>
        <v>電気設備(電話)</v>
      </c>
      <c r="V74" s="390"/>
      <c r="W74" t="str">
        <f ca="1">I74</f>
        <v>( 1 ／ 1 )</v>
      </c>
    </row>
    <row r="75" spans="1:29" ht="13.5" customHeight="1" x14ac:dyDescent="0.15">
      <c r="C75" s="16"/>
      <c r="D75" s="102"/>
      <c r="E75" s="102"/>
      <c r="F75" s="18"/>
      <c r="G75" s="102"/>
      <c r="H75" s="102"/>
      <c r="I75" s="48"/>
      <c r="O75" s="780" t="s">
        <v>258</v>
      </c>
      <c r="P75" s="47"/>
      <c r="Q75" s="47"/>
      <c r="R75" s="102"/>
      <c r="S75" s="47"/>
      <c r="T75" s="109" t="s">
        <v>88</v>
      </c>
      <c r="U75" s="110"/>
      <c r="V75" s="781" t="s">
        <v>257</v>
      </c>
      <c r="W75" s="48"/>
      <c r="Z75" s="114"/>
    </row>
    <row r="76" spans="1:29" ht="13.5" customHeight="1" x14ac:dyDescent="0.15">
      <c r="C76" s="24" t="s">
        <v>222</v>
      </c>
      <c r="D76" s="6" t="s">
        <v>223</v>
      </c>
      <c r="E76" s="7" t="s">
        <v>224</v>
      </c>
      <c r="F76" s="25"/>
      <c r="G76" s="6" t="s">
        <v>105</v>
      </c>
      <c r="H76" s="6" t="s">
        <v>92</v>
      </c>
      <c r="I76" s="69" t="s">
        <v>225</v>
      </c>
      <c r="O76" s="752"/>
      <c r="P76" s="6" t="s">
        <v>89</v>
      </c>
      <c r="Q76" s="6" t="s">
        <v>90</v>
      </c>
      <c r="R76" s="7" t="s">
        <v>91</v>
      </c>
      <c r="S76" s="6" t="s">
        <v>92</v>
      </c>
      <c r="T76" s="6" t="s">
        <v>93</v>
      </c>
      <c r="U76" s="6" t="s">
        <v>94</v>
      </c>
      <c r="V76" s="782"/>
      <c r="W76" s="106" t="s">
        <v>226</v>
      </c>
    </row>
    <row r="77" spans="1:29" ht="13.5" customHeight="1" thickBot="1" x14ac:dyDescent="0.2">
      <c r="C77" s="71"/>
      <c r="D77" s="40"/>
      <c r="E77" s="40"/>
      <c r="F77" s="36"/>
      <c r="G77" s="40"/>
      <c r="H77" s="40"/>
      <c r="I77" s="52"/>
      <c r="M77" t="s">
        <v>227</v>
      </c>
      <c r="O77" s="753"/>
      <c r="P77" s="39"/>
      <c r="Q77" s="39"/>
      <c r="R77" s="40"/>
      <c r="S77" s="39"/>
      <c r="T77" s="56" t="s">
        <v>96</v>
      </c>
      <c r="U77" s="56" t="s">
        <v>96</v>
      </c>
      <c r="V77" s="783"/>
      <c r="W77" s="52"/>
      <c r="Z77" s="114"/>
    </row>
    <row r="78" spans="1:29" ht="15" customHeight="1" thickTop="1" x14ac:dyDescent="0.15">
      <c r="C78" s="182"/>
      <c r="D78" s="210"/>
      <c r="E78" s="184"/>
      <c r="F78" s="227"/>
      <c r="G78" s="297" t="str">
        <f ca="1">IF(OR(AC$8=0,L78="b"),"",IF(L78="l",0,"("&amp;FIXED(-F78,K79,0)&amp;M78))</f>
        <v/>
      </c>
      <c r="H78" s="183"/>
      <c r="I78" s="185"/>
      <c r="L78" t="str">
        <f ca="1">CELL("type",F78)</f>
        <v>b</v>
      </c>
      <c r="M78" t="str">
        <f>")"&amp;REPT(" ",2-K79)&amp;IF(K79=0," ","")</f>
        <v xml:space="preserve">)   </v>
      </c>
      <c r="O78" s="182"/>
      <c r="P78" s="207">
        <f>D78</f>
        <v>0</v>
      </c>
      <c r="Q78" s="207">
        <f>E78</f>
        <v>0</v>
      </c>
      <c r="R78" s="300" t="str">
        <f ca="1">G78</f>
        <v/>
      </c>
      <c r="S78" s="304"/>
      <c r="T78" s="369"/>
      <c r="U78" s="206">
        <f ca="1">IF(OR(AC$8=0,SUM(Z79:AC79)=0),1,IF(L78="l","",SUM(AB79:AC79)))</f>
        <v>1</v>
      </c>
      <c r="V78" s="387"/>
      <c r="W78" s="50"/>
    </row>
    <row r="79" spans="1:29" ht="15" customHeight="1" x14ac:dyDescent="0.15">
      <c r="C79" s="186"/>
      <c r="D79" s="205"/>
      <c r="E79" s="188"/>
      <c r="F79" s="226"/>
      <c r="G79" s="296" t="str">
        <f ca="1">IF(L79="b","",IF(L79="l",0,FIXED(F79,K79,0)&amp;M79))</f>
        <v/>
      </c>
      <c r="H79" s="187"/>
      <c r="I79" s="189"/>
      <c r="K79" s="215"/>
      <c r="L79" t="str">
        <f ca="1">CELL("type",F79)</f>
        <v>b</v>
      </c>
      <c r="M79" t="str">
        <f>REPT(" ",3-K79)&amp;IF(K79=0," ","")</f>
        <v xml:space="preserve">    </v>
      </c>
      <c r="O79" s="182"/>
      <c r="P79" s="208">
        <f>IF(ISNUMBER(D79),LOOKUP(D79,$AB$5:$AC$7),D79)</f>
        <v>0</v>
      </c>
      <c r="Q79" s="208">
        <f>E79</f>
        <v>0</v>
      </c>
      <c r="R79" s="301" t="str">
        <f ca="1">G79</f>
        <v/>
      </c>
      <c r="S79" s="305">
        <f>H79</f>
        <v>0</v>
      </c>
      <c r="T79" s="370"/>
      <c r="U79" s="216">
        <f ca="1">IF(L79="l","",IF(D79+F79&gt;0,SUM(Z79:AA79),-1))</f>
        <v>-1</v>
      </c>
      <c r="V79" s="454"/>
      <c r="W79" s="107"/>
      <c r="Z79" s="114">
        <f>IF(D79&gt;0,0,TRUNC(F79*T79+Y79*X79))</f>
        <v>0</v>
      </c>
      <c r="AA79" t="b">
        <f>IF($D79=1,SUM(Z$13:Z77)-SUM(AA$13:AA77),IF($D79=2,$AA$6,IF($D79=3,TRUNC($AA$6,-3))))</f>
        <v>0</v>
      </c>
      <c r="AB79">
        <f ca="1">IF(OR(AC$8=0,L78="l",D79&gt;0,U79=-1),0,IF(L78="b",-U79,TRUNC(F78*T79)))</f>
        <v>0</v>
      </c>
      <c r="AC79" t="b">
        <f>IF($D79=1,SUM(AB$13:AB77)-SUM(AC$13:AC77),IF($D79=2,$AA$5,IF($D79=3,TRUNC($AA$5,-3))))</f>
        <v>0</v>
      </c>
    </row>
    <row r="80" spans="1:29" ht="15" customHeight="1" x14ac:dyDescent="0.15">
      <c r="C80" s="182"/>
      <c r="D80" s="210"/>
      <c r="E80" s="184"/>
      <c r="F80" s="227"/>
      <c r="G80" s="297" t="str">
        <f ca="1">IF(OR(AC$8=0,L80="b"),"",IF(L80="l",0,"("&amp;FIXED(-F80,K81,0)&amp;M80))</f>
        <v/>
      </c>
      <c r="H80" s="183"/>
      <c r="I80" s="185"/>
      <c r="L80" t="str">
        <f ca="1">CELL("type",F80)</f>
        <v>b</v>
      </c>
      <c r="M80" t="str">
        <f>")"&amp;REPT(" ",2-K81)&amp;IF(K81=0," ","")</f>
        <v xml:space="preserve">)   </v>
      </c>
      <c r="O80" s="194"/>
      <c r="P80" s="207">
        <f>D80</f>
        <v>0</v>
      </c>
      <c r="Q80" s="207">
        <f>E80</f>
        <v>0</v>
      </c>
      <c r="R80" s="300" t="str">
        <f ca="1">G80</f>
        <v/>
      </c>
      <c r="S80" s="304"/>
      <c r="T80" s="369"/>
      <c r="U80" s="206">
        <f ca="1">IF(OR(AC$8=0,SUM(Z81:AC81)=0),1,IF(L80="l","",SUM(AB81:AC81)))</f>
        <v>1</v>
      </c>
      <c r="V80" s="387"/>
      <c r="W80" s="50"/>
    </row>
    <row r="81" spans="3:29" ht="15" customHeight="1" x14ac:dyDescent="0.15">
      <c r="C81" s="186"/>
      <c r="D81" s="205"/>
      <c r="E81" s="188"/>
      <c r="F81" s="226"/>
      <c r="G81" s="296" t="str">
        <f ca="1">IF(L81="b","",IF(L81="l",0,FIXED(F81,K81,0)&amp;M81))</f>
        <v/>
      </c>
      <c r="H81" s="187"/>
      <c r="I81" s="189"/>
      <c r="K81" s="215"/>
      <c r="L81" t="str">
        <f ca="1">CELL("type",F81)</f>
        <v>b</v>
      </c>
      <c r="M81" t="str">
        <f>REPT(" ",3-K81)&amp;IF(K81=0," ","")</f>
        <v xml:space="preserve">    </v>
      </c>
      <c r="O81" s="194"/>
      <c r="P81" s="208">
        <f>IF(ISNUMBER(D81),LOOKUP(D81,$AB$5:$AC$7),D81)</f>
        <v>0</v>
      </c>
      <c r="Q81" s="208">
        <f>E81</f>
        <v>0</v>
      </c>
      <c r="R81" s="301" t="str">
        <f ca="1">G81</f>
        <v/>
      </c>
      <c r="S81" s="305">
        <f>H81</f>
        <v>0</v>
      </c>
      <c r="T81" s="370"/>
      <c r="U81" s="216">
        <f ca="1">IF(L81="l","",IF(D81+F81&gt;0,SUM(Z81:AA81),-1))</f>
        <v>-1</v>
      </c>
      <c r="V81" s="454"/>
      <c r="W81" s="107"/>
      <c r="Z81" s="114">
        <f>IF(D81&gt;0,0,TRUNC(F81*T81+Y81*X81))</f>
        <v>0</v>
      </c>
      <c r="AA81" t="b">
        <f>IF($D81=1,SUM(Z$13:Z79)-SUM(AA$13:AA79),IF($D81=2,$AA$6,IF($D81=3,TRUNC($AA$6,-3))))</f>
        <v>0</v>
      </c>
      <c r="AB81">
        <f ca="1">IF(OR(AC$8=0,L80="l",D81&gt;0,U81=-1),0,IF(L80="b",-U81,TRUNC(F80*T81)))</f>
        <v>0</v>
      </c>
      <c r="AC81" t="b">
        <f>IF($D81=1,SUM(AB$13:AB79)-SUM(AC$13:AC79),IF($D81=2,$AA$5,IF($D81=3,TRUNC($AA$5,-3))))</f>
        <v>0</v>
      </c>
    </row>
    <row r="82" spans="3:29" ht="15" customHeight="1" x14ac:dyDescent="0.15">
      <c r="C82" s="182"/>
      <c r="D82" s="210"/>
      <c r="E82" s="184"/>
      <c r="F82" s="227"/>
      <c r="G82" s="297" t="str">
        <f ca="1">IF(OR(AC$8=0,L82="b"),"",IF(L82="l",0,"("&amp;FIXED(-F82,K83,0)&amp;M82))</f>
        <v/>
      </c>
      <c r="H82" s="183"/>
      <c r="I82" s="185"/>
      <c r="L82" t="str">
        <f t="shared" ref="L82:L109" ca="1" si="12">CELL("type",F82)</f>
        <v>b</v>
      </c>
      <c r="M82" t="str">
        <f>")"&amp;REPT(" ",2-K83)&amp;IF(K83=0," ","")</f>
        <v xml:space="preserve">)   </v>
      </c>
      <c r="O82" s="194"/>
      <c r="P82" s="207">
        <f>D82</f>
        <v>0</v>
      </c>
      <c r="Q82" s="207">
        <f t="shared" ref="Q82:Q110" si="13">E82</f>
        <v>0</v>
      </c>
      <c r="R82" s="300" t="str">
        <f t="shared" ref="R82:R109" ca="1" si="14">G82</f>
        <v/>
      </c>
      <c r="S82" s="304"/>
      <c r="T82" s="149"/>
      <c r="U82" s="206">
        <f ca="1">IF(OR(AC$8=0,SUM(Z83:AC83)=0),1,IF(L82="l","",SUM(AB83:AC83)))</f>
        <v>1</v>
      </c>
      <c r="V82" s="394"/>
      <c r="W82" s="50"/>
    </row>
    <row r="83" spans="3:29" ht="15" customHeight="1" x14ac:dyDescent="0.15">
      <c r="C83" s="186"/>
      <c r="D83" s="205"/>
      <c r="E83" s="188"/>
      <c r="F83" s="226"/>
      <c r="G83" s="296" t="str">
        <f ca="1">IF(L83="b","",IF(L83="l",0,FIXED(F83,K83,0)&amp;M83))</f>
        <v/>
      </c>
      <c r="H83" s="187"/>
      <c r="I83" s="189"/>
      <c r="K83" s="215"/>
      <c r="L83" t="str">
        <f t="shared" ca="1" si="12"/>
        <v>b</v>
      </c>
      <c r="M83" t="str">
        <f>REPT(" ",3-K83)&amp;IF(K83=0," ","")</f>
        <v xml:space="preserve">    </v>
      </c>
      <c r="O83" s="194"/>
      <c r="P83" s="208">
        <f>IF(ISNUMBER(D83),LOOKUP(D83,$AB$5:$AC$7),D83)</f>
        <v>0</v>
      </c>
      <c r="Q83" s="208">
        <f t="shared" si="13"/>
        <v>0</v>
      </c>
      <c r="R83" s="301" t="str">
        <f t="shared" ca="1" si="14"/>
        <v/>
      </c>
      <c r="S83" s="305">
        <f>H83</f>
        <v>0</v>
      </c>
      <c r="T83" s="150"/>
      <c r="U83" s="216">
        <f ca="1">IF(L83="l","",IF(D83+F83&gt;0,SUM(Z83:AA83),-1))</f>
        <v>-1</v>
      </c>
      <c r="V83" s="395"/>
      <c r="W83" s="107"/>
      <c r="Z83" s="114">
        <f>IF(D83&gt;0,0,TRUNC(F83*T83+Y83*X83))</f>
        <v>0</v>
      </c>
      <c r="AA83" t="b">
        <f>IF($D83=1,SUM(Z$13:Z81)-SUM(AA$13:AA81),IF($D83=2,$AA$6,IF($D83=3,TRUNC($AA$6,-3))))</f>
        <v>0</v>
      </c>
      <c r="AB83">
        <f ca="1">IF(OR(AC$8=0,L82="l",D83&gt;0,U83=-1),0,IF(L82="b",-U83,TRUNC(F82*T83)))</f>
        <v>0</v>
      </c>
      <c r="AC83" t="b">
        <f>IF($D83=1,SUM(AB$13:AB81)-SUM(AC$13:AC81),IF($D83=2,$AA$5,IF($D83=3,TRUNC($AA$5,-3))))</f>
        <v>0</v>
      </c>
    </row>
    <row r="84" spans="3:29" ht="15" customHeight="1" x14ac:dyDescent="0.15">
      <c r="C84" s="182"/>
      <c r="D84" s="210"/>
      <c r="E84" s="184"/>
      <c r="F84" s="227"/>
      <c r="G84" s="297" t="str">
        <f ca="1">IF(OR(AC$8=0,L84="b"),"",IF(L84="l",0,"("&amp;FIXED(-F84,K85,0)&amp;M84))</f>
        <v/>
      </c>
      <c r="H84" s="183"/>
      <c r="I84" s="185"/>
      <c r="L84" t="str">
        <f t="shared" ca="1" si="12"/>
        <v>b</v>
      </c>
      <c r="M84" t="str">
        <f>")"&amp;REPT(" ",2-K85)&amp;IF(K85=0," ","")</f>
        <v xml:space="preserve">)   </v>
      </c>
      <c r="O84" s="194"/>
      <c r="P84" s="207">
        <f>D84</f>
        <v>0</v>
      </c>
      <c r="Q84" s="207">
        <f t="shared" si="13"/>
        <v>0</v>
      </c>
      <c r="R84" s="300" t="str">
        <f t="shared" ca="1" si="14"/>
        <v/>
      </c>
      <c r="S84" s="304"/>
      <c r="T84" s="149"/>
      <c r="U84" s="206">
        <f ca="1">IF(OR(AC$8=0,SUM(Z85:AC85)=0),1,IF(L84="l","",SUM(AB85:AC85)))</f>
        <v>1</v>
      </c>
      <c r="V84" s="394"/>
      <c r="W84" s="50"/>
    </row>
    <row r="85" spans="3:29" ht="15" customHeight="1" x14ac:dyDescent="0.15">
      <c r="C85" s="186"/>
      <c r="D85" s="205"/>
      <c r="E85" s="188"/>
      <c r="F85" s="226"/>
      <c r="G85" s="296" t="str">
        <f ca="1">IF(L85="b","",IF(L85="l",0,FIXED(F85,K85,0)&amp;M85))</f>
        <v/>
      </c>
      <c r="H85" s="187"/>
      <c r="I85" s="189"/>
      <c r="K85" s="215"/>
      <c r="L85" t="str">
        <f t="shared" ca="1" si="12"/>
        <v>b</v>
      </c>
      <c r="M85" t="str">
        <f>REPT(" ",3-K85)&amp;IF(K85=0," ","")</f>
        <v xml:space="preserve">    </v>
      </c>
      <c r="O85" s="194"/>
      <c r="P85" s="208">
        <f>IF(ISNUMBER(D85),LOOKUP(D85,$AB$5:$AC$7),D85)</f>
        <v>0</v>
      </c>
      <c r="Q85" s="208">
        <f t="shared" si="13"/>
        <v>0</v>
      </c>
      <c r="R85" s="301" t="str">
        <f t="shared" ca="1" si="14"/>
        <v/>
      </c>
      <c r="S85" s="305">
        <f>H85</f>
        <v>0</v>
      </c>
      <c r="T85" s="150"/>
      <c r="U85" s="216">
        <f ca="1">IF(L85="l","",IF(D85+F85&gt;0,SUM(Z85:AA85),-1))</f>
        <v>-1</v>
      </c>
      <c r="V85" s="395"/>
      <c r="W85" s="107"/>
      <c r="Z85" s="114">
        <f>IF(D85&gt;0,0,TRUNC(F85*T85+Y85*X85))</f>
        <v>0</v>
      </c>
      <c r="AA85" t="b">
        <f>IF($D85=1,SUM(Z$13:Z83)-SUM(AA$13:AA83),IF($D85=2,$AA$6,IF($D85=3,TRUNC($AA$6,-3))))</f>
        <v>0</v>
      </c>
      <c r="AB85">
        <f ca="1">IF(OR(AC$8=0,L84="l",D85&gt;0,U85=-1),0,IF(L84="b",-U85,TRUNC(F84*T85)))</f>
        <v>0</v>
      </c>
      <c r="AC85" t="b">
        <f>IF($D85=1,SUM(AB$13:AB83)-SUM(AC$13:AC83),IF($D85=2,$AA$5,IF($D85=3,TRUNC($AA$5,-3))))</f>
        <v>0</v>
      </c>
    </row>
    <row r="86" spans="3:29" ht="15" customHeight="1" x14ac:dyDescent="0.15">
      <c r="C86" s="182"/>
      <c r="D86" s="210"/>
      <c r="E86" s="184"/>
      <c r="F86" s="227"/>
      <c r="G86" s="297" t="str">
        <f ca="1">IF(OR(AC$8=0,L86="b"),"",IF(L86="l",0,"("&amp;FIXED(-F86,K87,0)&amp;M86))</f>
        <v/>
      </c>
      <c r="H86" s="183"/>
      <c r="I86" s="185"/>
      <c r="L86" t="str">
        <f t="shared" ca="1" si="12"/>
        <v>b</v>
      </c>
      <c r="M86" t="str">
        <f>")"&amp;REPT(" ",2-K87)&amp;IF(K87=0," ","")</f>
        <v xml:space="preserve">)   </v>
      </c>
      <c r="O86" s="194"/>
      <c r="P86" s="207">
        <f>D86</f>
        <v>0</v>
      </c>
      <c r="Q86" s="207">
        <f t="shared" si="13"/>
        <v>0</v>
      </c>
      <c r="R86" s="300" t="str">
        <f t="shared" ca="1" si="14"/>
        <v/>
      </c>
      <c r="S86" s="304"/>
      <c r="T86" s="149"/>
      <c r="U86" s="206">
        <f ca="1">IF(OR(AC$8=0,SUM(Z87:AC87)=0),1,IF(L86="l","",SUM(AB87:AC87)))</f>
        <v>1</v>
      </c>
      <c r="V86" s="394"/>
      <c r="W86" s="50"/>
    </row>
    <row r="87" spans="3:29" ht="15" customHeight="1" x14ac:dyDescent="0.15">
      <c r="C87" s="186"/>
      <c r="D87" s="205"/>
      <c r="E87" s="188"/>
      <c r="F87" s="226"/>
      <c r="G87" s="296" t="str">
        <f ca="1">IF(L87="b","",IF(L87="l",0,FIXED(F87,K87,0)&amp;M87))</f>
        <v/>
      </c>
      <c r="H87" s="187"/>
      <c r="I87" s="189"/>
      <c r="K87" s="215"/>
      <c r="L87" t="str">
        <f t="shared" ca="1" si="12"/>
        <v>b</v>
      </c>
      <c r="M87" t="str">
        <f>REPT(" ",3-K87)&amp;IF(K87=0," ","")</f>
        <v xml:space="preserve">    </v>
      </c>
      <c r="O87" s="194"/>
      <c r="P87" s="208">
        <f>IF(ISNUMBER(D87),LOOKUP(D87,$AB$5:$AC$7),D87)</f>
        <v>0</v>
      </c>
      <c r="Q87" s="208">
        <f t="shared" si="13"/>
        <v>0</v>
      </c>
      <c r="R87" s="301" t="str">
        <f t="shared" ca="1" si="14"/>
        <v/>
      </c>
      <c r="S87" s="305">
        <f>H87</f>
        <v>0</v>
      </c>
      <c r="T87" s="150"/>
      <c r="U87" s="216">
        <f ca="1">IF(L87="l","",IF(D87+F87&gt;0,SUM(Z87:AA87),-1))</f>
        <v>-1</v>
      </c>
      <c r="V87" s="395"/>
      <c r="W87" s="107"/>
      <c r="Z87" s="114">
        <f>IF(D87&gt;0,0,TRUNC(F87*T87+Y87*X87))</f>
        <v>0</v>
      </c>
      <c r="AA87" t="b">
        <f>IF($D87=1,SUM(Z$13:Z85)-SUM(AA$13:AA85),IF($D87=2,$AA$6,IF($D87=3,TRUNC($AA$6,-3))))</f>
        <v>0</v>
      </c>
      <c r="AB87">
        <f ca="1">IF(OR(AC$8=0,L86="l",D87&gt;0,U87=-1),0,IF(L86="b",-U87,TRUNC(F86*T87)))</f>
        <v>0</v>
      </c>
      <c r="AC87" t="b">
        <f>IF($D87=1,SUM(AB$13:AB85)-SUM(AC$13:AC85),IF($D87=2,$AA$5,IF($D87=3,TRUNC($AA$5,-3))))</f>
        <v>0</v>
      </c>
    </row>
    <row r="88" spans="3:29" ht="15" customHeight="1" x14ac:dyDescent="0.15">
      <c r="C88" s="182"/>
      <c r="D88" s="210"/>
      <c r="E88" s="184"/>
      <c r="F88" s="227"/>
      <c r="G88" s="297" t="str">
        <f ca="1">IF(OR(AC$8=0,L88="b"),"",IF(L88="l",0,"("&amp;FIXED(-F88,K89,0)&amp;M88))</f>
        <v/>
      </c>
      <c r="H88" s="183"/>
      <c r="I88" s="185"/>
      <c r="L88" t="str">
        <f t="shared" ca="1" si="12"/>
        <v>b</v>
      </c>
      <c r="M88" t="str">
        <f>")"&amp;REPT(" ",2-K89)&amp;IF(K89=0," ","")</f>
        <v xml:space="preserve">)   </v>
      </c>
      <c r="O88" s="194"/>
      <c r="P88" s="207">
        <f>D88</f>
        <v>0</v>
      </c>
      <c r="Q88" s="207">
        <f t="shared" si="13"/>
        <v>0</v>
      </c>
      <c r="R88" s="300" t="str">
        <f t="shared" ca="1" si="14"/>
        <v/>
      </c>
      <c r="S88" s="304"/>
      <c r="T88" s="149"/>
      <c r="U88" s="206">
        <f ca="1">IF(OR(AC$8=0,SUM(Z89:AC89)=0),1,IF(L88="l","",SUM(AB89:AC89)))</f>
        <v>1</v>
      </c>
      <c r="V88" s="394"/>
      <c r="W88" s="50"/>
    </row>
    <row r="89" spans="3:29" ht="15" customHeight="1" x14ac:dyDescent="0.15">
      <c r="C89" s="186"/>
      <c r="D89" s="205"/>
      <c r="E89" s="188"/>
      <c r="F89" s="226"/>
      <c r="G89" s="296" t="str">
        <f ca="1">IF(L89="b","",IF(L89="l",0,FIXED(F89,K89,0)&amp;M89))</f>
        <v/>
      </c>
      <c r="H89" s="187"/>
      <c r="I89" s="189"/>
      <c r="K89" s="215"/>
      <c r="L89" t="str">
        <f t="shared" ca="1" si="12"/>
        <v>b</v>
      </c>
      <c r="M89" t="str">
        <f>REPT(" ",3-K89)&amp;IF(K89=0," ","")</f>
        <v xml:space="preserve">    </v>
      </c>
      <c r="O89" s="194"/>
      <c r="P89" s="208">
        <f>IF(ISNUMBER(D89),LOOKUP(D89,$AB$5:$AC$7),D89)</f>
        <v>0</v>
      </c>
      <c r="Q89" s="208">
        <f t="shared" si="13"/>
        <v>0</v>
      </c>
      <c r="R89" s="301" t="str">
        <f t="shared" ca="1" si="14"/>
        <v/>
      </c>
      <c r="S89" s="305">
        <f>H89</f>
        <v>0</v>
      </c>
      <c r="T89" s="150"/>
      <c r="U89" s="216">
        <f ca="1">IF(L89="l","",IF(D89+F89&gt;0,SUM(Z89:AA89),-1))</f>
        <v>-1</v>
      </c>
      <c r="V89" s="395"/>
      <c r="W89" s="107"/>
      <c r="Z89" s="114">
        <f>IF(D89&gt;0,0,TRUNC(F89*T89+Y89*X89))</f>
        <v>0</v>
      </c>
      <c r="AA89" t="b">
        <f>IF($D89=1,SUM(Z$13:Z87)-SUM(AA$13:AA87),IF($D89=2,$AA$6,IF($D89=3,TRUNC($AA$6,-3))))</f>
        <v>0</v>
      </c>
      <c r="AB89">
        <f ca="1">IF(OR(AC$8=0,L88="l",D89&gt;0,U89=-1),0,IF(L88="b",-U89,TRUNC(F88*T89)))</f>
        <v>0</v>
      </c>
      <c r="AC89" t="b">
        <f>IF($D89=1,SUM(AB$13:AB87)-SUM(AC$13:AC87),IF($D89=2,$AA$5,IF($D89=3,TRUNC($AA$5,-3))))</f>
        <v>0</v>
      </c>
    </row>
    <row r="90" spans="3:29" ht="15" customHeight="1" x14ac:dyDescent="0.15">
      <c r="C90" s="182"/>
      <c r="D90" s="214"/>
      <c r="E90" s="184"/>
      <c r="F90" s="227"/>
      <c r="G90" s="297" t="str">
        <f ca="1">IF(OR(AC$8=0,L90="b"),"",IF(L90="l",0,"("&amp;FIXED(-F90,K91,0)&amp;M90))</f>
        <v/>
      </c>
      <c r="H90" s="183"/>
      <c r="I90" s="185"/>
      <c r="L90" t="str">
        <f t="shared" ca="1" si="12"/>
        <v>b</v>
      </c>
      <c r="M90" t="str">
        <f>")"&amp;REPT(" ",2-K91)&amp;IF(K91=0," ","")</f>
        <v xml:space="preserve">)   </v>
      </c>
      <c r="O90" s="194"/>
      <c r="P90" s="207">
        <f>D90</f>
        <v>0</v>
      </c>
      <c r="Q90" s="207">
        <f t="shared" si="13"/>
        <v>0</v>
      </c>
      <c r="R90" s="300" t="str">
        <f t="shared" ca="1" si="14"/>
        <v/>
      </c>
      <c r="S90" s="304"/>
      <c r="T90" s="149"/>
      <c r="U90" s="206">
        <f ca="1">IF(OR(AC$8=0,SUM(Z91:AC91)=0),1,IF(L90="l","",SUM(AB91:AC91)))</f>
        <v>1</v>
      </c>
      <c r="V90" s="394"/>
      <c r="W90" s="50"/>
    </row>
    <row r="91" spans="3:29" ht="15" customHeight="1" x14ac:dyDescent="0.15">
      <c r="C91" s="186"/>
      <c r="D91" s="205"/>
      <c r="E91" s="188"/>
      <c r="F91" s="226"/>
      <c r="G91" s="296" t="str">
        <f ca="1">IF(L91="b","",IF(L91="l",0,FIXED(F91,K91,0)&amp;M91))</f>
        <v/>
      </c>
      <c r="H91" s="187"/>
      <c r="I91" s="189"/>
      <c r="K91" s="215"/>
      <c r="L91" t="str">
        <f t="shared" ca="1" si="12"/>
        <v>b</v>
      </c>
      <c r="M91" t="str">
        <f>REPT(" ",3-K91)&amp;IF(K91=0," ","")</f>
        <v xml:space="preserve">    </v>
      </c>
      <c r="O91" s="194"/>
      <c r="P91" s="208">
        <f>IF(ISNUMBER(D91),LOOKUP(D91,$AB$5:$AC$7),D91)</f>
        <v>0</v>
      </c>
      <c r="Q91" s="208">
        <f t="shared" si="13"/>
        <v>0</v>
      </c>
      <c r="R91" s="301" t="str">
        <f t="shared" ca="1" si="14"/>
        <v/>
      </c>
      <c r="S91" s="305">
        <f>H91</f>
        <v>0</v>
      </c>
      <c r="T91" s="150"/>
      <c r="U91" s="216">
        <f ca="1">IF(L91="l","",IF(D91+F91&gt;0,SUM(Z91:AA91),-1))</f>
        <v>-1</v>
      </c>
      <c r="V91" s="395"/>
      <c r="W91" s="107"/>
      <c r="Z91" s="114">
        <f>IF(D91&gt;0,0,TRUNC(F91*T91+Y91*X91))</f>
        <v>0</v>
      </c>
      <c r="AA91" t="b">
        <f>IF($D91=1,SUM(Z$13:Z89)-SUM(AA$13:AA89),IF($D91=2,$AA$6,IF($D91=3,TRUNC($AA$6,-3))))</f>
        <v>0</v>
      </c>
      <c r="AB91">
        <f ca="1">IF(OR(AC$8=0,L90="l",D91&gt;0,U91=-1),0,IF(L90="b",-U91,TRUNC(F90*T91)))</f>
        <v>0</v>
      </c>
      <c r="AC91" t="b">
        <f>IF($D91=1,SUM(AB$13:AB89)-SUM(AC$13:AC89),IF($D91=2,$AA$5,IF($D91=3,TRUNC($AA$5,-3))))</f>
        <v>0</v>
      </c>
    </row>
    <row r="92" spans="3:29" ht="15" customHeight="1" x14ac:dyDescent="0.15">
      <c r="C92" s="182"/>
      <c r="D92" s="210"/>
      <c r="E92" s="184"/>
      <c r="F92" s="227"/>
      <c r="G92" s="297" t="str">
        <f ca="1">IF(OR(AC$8=0,L92="b"),"",IF(L92="l",0,"("&amp;FIXED(-F92,K93,0)&amp;M92))</f>
        <v/>
      </c>
      <c r="H92" s="183"/>
      <c r="I92" s="185"/>
      <c r="L92" t="str">
        <f t="shared" ca="1" si="12"/>
        <v>b</v>
      </c>
      <c r="M92" t="str">
        <f>")"&amp;REPT(" ",2-K93)&amp;IF(K93=0," ","")</f>
        <v xml:space="preserve">)   </v>
      </c>
      <c r="O92" s="194"/>
      <c r="P92" s="207">
        <f>D92</f>
        <v>0</v>
      </c>
      <c r="Q92" s="207">
        <f t="shared" si="13"/>
        <v>0</v>
      </c>
      <c r="R92" s="300" t="str">
        <f t="shared" ca="1" si="14"/>
        <v/>
      </c>
      <c r="S92" s="304"/>
      <c r="T92" s="149"/>
      <c r="U92" s="206">
        <f ca="1">IF(OR(AC$8=0,SUM(Z93:AC93)=0),1,IF(L92="l","",SUM(AB93:AC93)))</f>
        <v>1</v>
      </c>
      <c r="V92" s="394"/>
      <c r="W92" s="50"/>
    </row>
    <row r="93" spans="3:29" ht="15" customHeight="1" x14ac:dyDescent="0.15">
      <c r="C93" s="186"/>
      <c r="D93" s="205"/>
      <c r="E93" s="188"/>
      <c r="F93" s="226"/>
      <c r="G93" s="296" t="str">
        <f ca="1">IF(L93="b","",IF(L93="l",0,FIXED(F93,K93,0)&amp;M93))</f>
        <v/>
      </c>
      <c r="H93" s="187"/>
      <c r="I93" s="189"/>
      <c r="K93" s="215"/>
      <c r="L93" t="str">
        <f t="shared" ca="1" si="12"/>
        <v>b</v>
      </c>
      <c r="M93" t="str">
        <f>REPT(" ",3-K93)&amp;IF(K93=0," ","")</f>
        <v xml:space="preserve">    </v>
      </c>
      <c r="O93" s="194"/>
      <c r="P93" s="208">
        <f>IF(ISNUMBER(D93),LOOKUP(D93,$AB$5:$AC$7),D93)</f>
        <v>0</v>
      </c>
      <c r="Q93" s="208">
        <f t="shared" si="13"/>
        <v>0</v>
      </c>
      <c r="R93" s="301" t="str">
        <f t="shared" ca="1" si="14"/>
        <v/>
      </c>
      <c r="S93" s="305">
        <f>H93</f>
        <v>0</v>
      </c>
      <c r="T93" s="150"/>
      <c r="U93" s="216">
        <f ca="1">IF(L93="l","",IF(D93+F93&gt;0,SUM(Z93:AA93),-1))</f>
        <v>-1</v>
      </c>
      <c r="V93" s="395"/>
      <c r="W93" s="107"/>
      <c r="Z93" s="114">
        <f>IF(D93&gt;0,0,TRUNC(F93*T93+Y93*X93))</f>
        <v>0</v>
      </c>
      <c r="AA93" t="b">
        <f>IF($D93=1,SUM(Z$13:Z91)-SUM(AA$13:AA91),IF($D93=2,$AA$6,IF($D93=3,TRUNC($AA$6,-3))))</f>
        <v>0</v>
      </c>
      <c r="AB93">
        <f ca="1">IF(OR(AC$8=0,L92="l",D93&gt;0,U93=-1),0,IF(L92="b",-U93,TRUNC(F92*T93)))</f>
        <v>0</v>
      </c>
      <c r="AC93" t="b">
        <f>IF($D93=1,SUM(AB$13:AB91)-SUM(AC$13:AC91),IF($D93=2,$AA$5,IF($D93=3,TRUNC($AA$5,-3))))</f>
        <v>0</v>
      </c>
    </row>
    <row r="94" spans="3:29" ht="15" customHeight="1" x14ac:dyDescent="0.15">
      <c r="C94" s="182"/>
      <c r="D94" s="210"/>
      <c r="E94" s="184"/>
      <c r="F94" s="227"/>
      <c r="G94" s="297" t="str">
        <f ca="1">IF(OR(AC$8=0,L94="b"),"",IF(L94="l",0,"("&amp;FIXED(-F94,K95,0)&amp;M94))</f>
        <v/>
      </c>
      <c r="H94" s="183"/>
      <c r="I94" s="185"/>
      <c r="L94" t="str">
        <f t="shared" ca="1" si="12"/>
        <v>b</v>
      </c>
      <c r="M94" t="str">
        <f>")"&amp;REPT(" ",2-K95)&amp;IF(K95=0," ","")</f>
        <v xml:space="preserve">)   </v>
      </c>
      <c r="O94" s="194"/>
      <c r="P94" s="207">
        <f>D94</f>
        <v>0</v>
      </c>
      <c r="Q94" s="207">
        <f t="shared" si="13"/>
        <v>0</v>
      </c>
      <c r="R94" s="300" t="str">
        <f t="shared" ca="1" si="14"/>
        <v/>
      </c>
      <c r="S94" s="304"/>
      <c r="T94" s="149"/>
      <c r="U94" s="206">
        <f ca="1">IF(OR(AC$8=0,SUM(Z95:AC95)=0),1,IF(L94="l","",SUM(AB95:AC95)))</f>
        <v>1</v>
      </c>
      <c r="V94" s="394"/>
      <c r="W94" s="50"/>
    </row>
    <row r="95" spans="3:29" ht="15" customHeight="1" x14ac:dyDescent="0.15">
      <c r="C95" s="186"/>
      <c r="D95" s="205"/>
      <c r="E95" s="188"/>
      <c r="F95" s="226"/>
      <c r="G95" s="296" t="str">
        <f ca="1">IF(L95="b","",IF(L95="l",0,FIXED(F95,K95,0)&amp;M95))</f>
        <v/>
      </c>
      <c r="H95" s="187"/>
      <c r="I95" s="189"/>
      <c r="K95" s="215"/>
      <c r="L95" t="str">
        <f t="shared" ca="1" si="12"/>
        <v>b</v>
      </c>
      <c r="M95" t="str">
        <f>REPT(" ",3-K95)&amp;IF(K95=0," ","")</f>
        <v xml:space="preserve">    </v>
      </c>
      <c r="O95" s="194"/>
      <c r="P95" s="208">
        <f>IF(ISNUMBER(D95),LOOKUP(D95,$AB$5:$AC$7),D95)</f>
        <v>0</v>
      </c>
      <c r="Q95" s="208">
        <f t="shared" si="13"/>
        <v>0</v>
      </c>
      <c r="R95" s="301" t="str">
        <f t="shared" ca="1" si="14"/>
        <v/>
      </c>
      <c r="S95" s="305">
        <f>H95</f>
        <v>0</v>
      </c>
      <c r="T95" s="150"/>
      <c r="U95" s="216">
        <f ca="1">IF(L95="l","",IF(D95+F95&gt;0,SUM(Z95:AA95),-1))</f>
        <v>-1</v>
      </c>
      <c r="V95" s="395"/>
      <c r="W95" s="107"/>
      <c r="Z95" s="114">
        <f>IF(D95&gt;0,0,TRUNC(F95*T95+Y95*X95))</f>
        <v>0</v>
      </c>
      <c r="AA95" t="b">
        <f>IF($D95=1,SUM(Z$13:Z93)-SUM(AA$13:AA93),IF($D95=2,$AA$6,IF($D95=3,TRUNC($AA$6,-3))))</f>
        <v>0</v>
      </c>
      <c r="AB95">
        <f ca="1">IF(OR(AC$8=0,L94="l",D95&gt;0,U95=-1),0,IF(L94="b",-U95,TRUNC(F94*T95)))</f>
        <v>0</v>
      </c>
      <c r="AC95" t="b">
        <f>IF($D95=1,SUM(AB$13:AB93)-SUM(AC$13:AC93),IF($D95=2,$AA$5,IF($D95=3,TRUNC($AA$5,-3))))</f>
        <v>0</v>
      </c>
    </row>
    <row r="96" spans="3:29" ht="15" customHeight="1" x14ac:dyDescent="0.15">
      <c r="C96" s="182"/>
      <c r="D96" s="210"/>
      <c r="E96" s="184"/>
      <c r="F96" s="225"/>
      <c r="G96" s="297" t="str">
        <f ca="1">IF(OR(AC$8=0,L96="b"),"",IF(L96="l",0,"("&amp;FIXED(-F96,K97,0)&amp;M96))</f>
        <v/>
      </c>
      <c r="H96" s="183"/>
      <c r="I96" s="185"/>
      <c r="L96" t="str">
        <f t="shared" ca="1" si="12"/>
        <v>b</v>
      </c>
      <c r="M96" t="str">
        <f>")"&amp;REPT(" ",2-K97)&amp;IF(K97=0," ","")</f>
        <v xml:space="preserve">)   </v>
      </c>
      <c r="O96" s="194"/>
      <c r="P96" s="207">
        <f>D96</f>
        <v>0</v>
      </c>
      <c r="Q96" s="207">
        <f t="shared" si="13"/>
        <v>0</v>
      </c>
      <c r="R96" s="300" t="str">
        <f t="shared" ca="1" si="14"/>
        <v/>
      </c>
      <c r="S96" s="304"/>
      <c r="T96" s="149"/>
      <c r="U96" s="206">
        <f ca="1">IF(OR(AC$8=0,SUM(Z97:AC97)=0),1,IF(L96="l","",SUM(AB97:AC97)))</f>
        <v>1</v>
      </c>
      <c r="V96" s="394"/>
      <c r="W96" s="50"/>
    </row>
    <row r="97" spans="3:29" ht="15" customHeight="1" x14ac:dyDescent="0.15">
      <c r="C97" s="186"/>
      <c r="D97" s="205"/>
      <c r="E97" s="188"/>
      <c r="F97" s="226"/>
      <c r="G97" s="296" t="str">
        <f ca="1">IF(L97="b","",IF(L97="l",0,FIXED(F97,K97,0)&amp;M97))</f>
        <v/>
      </c>
      <c r="H97" s="187"/>
      <c r="I97" s="189"/>
      <c r="K97" s="215"/>
      <c r="L97" t="str">
        <f t="shared" ca="1" si="12"/>
        <v>b</v>
      </c>
      <c r="M97" t="str">
        <f>REPT(" ",3-K97)&amp;IF(K97=0," ","")</f>
        <v xml:space="preserve">    </v>
      </c>
      <c r="O97" s="194"/>
      <c r="P97" s="208">
        <f>IF(ISNUMBER(D97),LOOKUP(D97,$AB$5:$AC$7),D97)</f>
        <v>0</v>
      </c>
      <c r="Q97" s="208">
        <f t="shared" si="13"/>
        <v>0</v>
      </c>
      <c r="R97" s="301" t="str">
        <f t="shared" ca="1" si="14"/>
        <v/>
      </c>
      <c r="S97" s="305">
        <f>H97</f>
        <v>0</v>
      </c>
      <c r="T97" s="150"/>
      <c r="U97" s="216">
        <f ca="1">IF(L97="l","",IF(D97+F97&gt;0,SUM(Z97:AA97),-1))</f>
        <v>-1</v>
      </c>
      <c r="V97" s="395"/>
      <c r="W97" s="107"/>
      <c r="Z97" s="114">
        <f>IF(D97&gt;0,0,TRUNC(F97*T97+Y97*X97))</f>
        <v>0</v>
      </c>
      <c r="AA97" t="b">
        <f>IF($D97=1,SUM(Z$13:Z95)-SUM(AA$13:AA95),IF($D97=2,$AA$6,IF($D97=3,TRUNC($AA$6,-3))))</f>
        <v>0</v>
      </c>
      <c r="AB97">
        <f ca="1">IF(OR(AC$8=0,L96="l",D97&gt;0,U97=-1),0,IF(L96="b",-U97,TRUNC(F96*T97)))</f>
        <v>0</v>
      </c>
      <c r="AC97" t="b">
        <f>IF($D97=1,SUM(AB$13:AB95)-SUM(AC$13:AC95),IF($D97=2,$AA$5,IF($D97=3,TRUNC($AA$5,-3))))</f>
        <v>0</v>
      </c>
    </row>
    <row r="98" spans="3:29" ht="15" customHeight="1" x14ac:dyDescent="0.15">
      <c r="C98" s="182"/>
      <c r="D98" s="210"/>
      <c r="E98" s="184"/>
      <c r="F98" s="227"/>
      <c r="G98" s="297" t="str">
        <f ca="1">IF(OR(AC$8=0,L98="b"),"",IF(L98="l",0,"("&amp;FIXED(-F98,K99,0)&amp;M98))</f>
        <v/>
      </c>
      <c r="H98" s="183"/>
      <c r="I98" s="185"/>
      <c r="L98" t="str">
        <f t="shared" ca="1" si="12"/>
        <v>b</v>
      </c>
      <c r="M98" t="str">
        <f>")"&amp;REPT(" ",2-K99)&amp;IF(K99=0," ","")</f>
        <v xml:space="preserve">)   </v>
      </c>
      <c r="O98" s="194"/>
      <c r="P98" s="207">
        <f>D98</f>
        <v>0</v>
      </c>
      <c r="Q98" s="207">
        <f t="shared" si="13"/>
        <v>0</v>
      </c>
      <c r="R98" s="300" t="str">
        <f t="shared" ca="1" si="14"/>
        <v/>
      </c>
      <c r="S98" s="304"/>
      <c r="T98" s="149"/>
      <c r="U98" s="206">
        <f ca="1">IF(OR(AC$8=0,SUM(Z99:AC99)=0),1,IF(L98="l","",SUM(AB99:AC99)))</f>
        <v>1</v>
      </c>
      <c r="V98" s="394"/>
      <c r="W98" s="50"/>
    </row>
    <row r="99" spans="3:29" ht="15" customHeight="1" x14ac:dyDescent="0.15">
      <c r="C99" s="186"/>
      <c r="D99" s="205"/>
      <c r="E99" s="188"/>
      <c r="F99" s="226"/>
      <c r="G99" s="296" t="str">
        <f ca="1">IF(L99="b","",IF(L99="l",0,FIXED(F99,K99,0)&amp;M99))</f>
        <v/>
      </c>
      <c r="H99" s="187"/>
      <c r="I99" s="189"/>
      <c r="K99" s="215"/>
      <c r="L99" t="str">
        <f t="shared" ca="1" si="12"/>
        <v>b</v>
      </c>
      <c r="M99" t="str">
        <f>REPT(" ",3-K99)&amp;IF(K99=0," ","")</f>
        <v xml:space="preserve">    </v>
      </c>
      <c r="O99" s="194"/>
      <c r="P99" s="208">
        <f>IF(ISNUMBER(D99),LOOKUP(D99,$AB$5:$AC$7),D99)</f>
        <v>0</v>
      </c>
      <c r="Q99" s="208">
        <f t="shared" si="13"/>
        <v>0</v>
      </c>
      <c r="R99" s="301" t="str">
        <f t="shared" ca="1" si="14"/>
        <v/>
      </c>
      <c r="S99" s="305">
        <f>H99</f>
        <v>0</v>
      </c>
      <c r="T99" s="150"/>
      <c r="U99" s="216">
        <f ca="1">IF(L99="l","",IF(D99+F99&gt;0,SUM(Z99:AA99),-1))</f>
        <v>-1</v>
      </c>
      <c r="V99" s="395"/>
      <c r="W99" s="107"/>
      <c r="Z99" s="114">
        <f>IF(D99&gt;0,0,TRUNC(F99*T99+Y99*X99))</f>
        <v>0</v>
      </c>
      <c r="AA99" t="b">
        <f>IF($D99=1,SUM(Z$13:Z97)-SUM(AA$13:AA97),IF($D99=2,$AA$6,IF($D99=3,TRUNC($AA$6,-3))))</f>
        <v>0</v>
      </c>
      <c r="AB99">
        <f ca="1">IF(OR(AC$8=0,L98="l",D99&gt;0,U99=-1),0,IF(L98="b",-U99,TRUNC(F98*T99)))</f>
        <v>0</v>
      </c>
      <c r="AC99" t="b">
        <f>IF($D99=1,SUM(AB$13:AB97)-SUM(AC$13:AC97),IF($D99=2,$AA$5,IF($D99=3,TRUNC($AA$5,-3))))</f>
        <v>0</v>
      </c>
    </row>
    <row r="100" spans="3:29" ht="15" customHeight="1" x14ac:dyDescent="0.15">
      <c r="C100" s="182"/>
      <c r="D100" s="210"/>
      <c r="E100" s="184"/>
      <c r="F100" s="227"/>
      <c r="G100" s="297" t="str">
        <f ca="1">IF(OR(AC$8=0,L100="b"),"",IF(L100="l",0,"("&amp;FIXED(-F100,K101,0)&amp;M100))</f>
        <v/>
      </c>
      <c r="H100" s="183"/>
      <c r="I100" s="185"/>
      <c r="L100" t="str">
        <f t="shared" ca="1" si="12"/>
        <v>b</v>
      </c>
      <c r="M100" t="str">
        <f>")"&amp;REPT(" ",2-K101)&amp;IF(K101=0," ","")</f>
        <v xml:space="preserve">)   </v>
      </c>
      <c r="O100" s="194"/>
      <c r="P100" s="207">
        <f>D100</f>
        <v>0</v>
      </c>
      <c r="Q100" s="207">
        <f t="shared" si="13"/>
        <v>0</v>
      </c>
      <c r="R100" s="300" t="str">
        <f t="shared" ca="1" si="14"/>
        <v/>
      </c>
      <c r="S100" s="304"/>
      <c r="T100" s="149"/>
      <c r="U100" s="206">
        <f ca="1">IF(OR(AC$8=0,SUM(Z101:AC101)=0),1,IF(L100="l","",SUM(AB101:AC101)))</f>
        <v>1</v>
      </c>
      <c r="V100" s="394"/>
      <c r="W100" s="50"/>
    </row>
    <row r="101" spans="3:29" ht="15" customHeight="1" x14ac:dyDescent="0.15">
      <c r="C101" s="186"/>
      <c r="D101" s="205"/>
      <c r="E101" s="188"/>
      <c r="F101" s="226"/>
      <c r="G101" s="296" t="str">
        <f ca="1">IF(L101="b","",IF(L101="l",0,FIXED(F101,K101,0)&amp;M101))</f>
        <v/>
      </c>
      <c r="H101" s="187"/>
      <c r="I101" s="189"/>
      <c r="K101" s="215"/>
      <c r="L101" t="str">
        <f t="shared" ca="1" si="12"/>
        <v>b</v>
      </c>
      <c r="M101" t="str">
        <f>REPT(" ",3-K101)&amp;IF(K101=0," ","")</f>
        <v xml:space="preserve">    </v>
      </c>
      <c r="O101" s="194"/>
      <c r="P101" s="208">
        <f>IF(ISNUMBER(D101),LOOKUP(D101,$AB$5:$AC$7),D101)</f>
        <v>0</v>
      </c>
      <c r="Q101" s="208">
        <f t="shared" si="13"/>
        <v>0</v>
      </c>
      <c r="R101" s="301" t="str">
        <f t="shared" ca="1" si="14"/>
        <v/>
      </c>
      <c r="S101" s="305">
        <f>H101</f>
        <v>0</v>
      </c>
      <c r="T101" s="150"/>
      <c r="U101" s="216">
        <f ca="1">IF(L101="l","",IF(D101+F101&gt;0,SUM(Z101:AA101),-1))</f>
        <v>-1</v>
      </c>
      <c r="V101" s="395"/>
      <c r="W101" s="107"/>
      <c r="Z101" s="114">
        <f>IF(D101&gt;0,0,TRUNC(F101*T101+Y101*X101))</f>
        <v>0</v>
      </c>
      <c r="AA101" t="b">
        <f>IF($D101=1,SUM(Z$13:Z99)-SUM(AA$13:AA99),IF($D101=2,$AA$6,IF($D101=3,TRUNC($AA$6,-3))))</f>
        <v>0</v>
      </c>
      <c r="AB101">
        <f ca="1">IF(OR(AC$8=0,L100="l",D101&gt;0,U101=-1),0,IF(L100="b",-U101,TRUNC(F100*T101)))</f>
        <v>0</v>
      </c>
      <c r="AC101" t="b">
        <f>IF($D101=1,SUM(AB$13:AB99)-SUM(AC$13:AC99),IF($D101=2,$AA$5,IF($D101=3,TRUNC($AA$5,-3))))</f>
        <v>0</v>
      </c>
    </row>
    <row r="102" spans="3:29" ht="15" customHeight="1" x14ac:dyDescent="0.15">
      <c r="C102" s="182"/>
      <c r="D102" s="210"/>
      <c r="E102" s="184"/>
      <c r="F102" s="227"/>
      <c r="G102" s="297" t="str">
        <f ca="1">IF(OR(AC$8=0,L102="b"),"",IF(L102="l",0,"("&amp;FIXED(-F102,K103,0)&amp;M102))</f>
        <v/>
      </c>
      <c r="H102" s="183"/>
      <c r="I102" s="185"/>
      <c r="L102" t="str">
        <f t="shared" ca="1" si="12"/>
        <v>b</v>
      </c>
      <c r="M102" t="str">
        <f>")"&amp;REPT(" ",2-K103)&amp;IF(K103=0," ","")</f>
        <v xml:space="preserve">)   </v>
      </c>
      <c r="O102" s="194"/>
      <c r="P102" s="207">
        <f>D102</f>
        <v>0</v>
      </c>
      <c r="Q102" s="207">
        <f t="shared" si="13"/>
        <v>0</v>
      </c>
      <c r="R102" s="300" t="str">
        <f t="shared" ca="1" si="14"/>
        <v/>
      </c>
      <c r="S102" s="304"/>
      <c r="T102" s="149"/>
      <c r="U102" s="206">
        <f ca="1">IF(OR(AC$8=0,SUM(Z103:AC103)=0),1,IF(L102="l","",SUM(AB103:AC103)))</f>
        <v>1</v>
      </c>
      <c r="V102" s="394"/>
      <c r="W102" s="50"/>
    </row>
    <row r="103" spans="3:29" ht="15" customHeight="1" x14ac:dyDescent="0.15">
      <c r="C103" s="186"/>
      <c r="D103" s="205"/>
      <c r="E103" s="188"/>
      <c r="F103" s="226"/>
      <c r="G103" s="296" t="str">
        <f ca="1">IF(L103="b","",IF(L103="l",0,FIXED(F103,K103,0)&amp;M103))</f>
        <v/>
      </c>
      <c r="H103" s="187"/>
      <c r="I103" s="189"/>
      <c r="K103" s="215"/>
      <c r="L103" t="str">
        <f t="shared" ca="1" si="12"/>
        <v>b</v>
      </c>
      <c r="M103" t="str">
        <f>REPT(" ",3-K103)&amp;IF(K103=0," ","")</f>
        <v xml:space="preserve">    </v>
      </c>
      <c r="O103" s="194"/>
      <c r="P103" s="208">
        <f>IF(ISNUMBER(D103),LOOKUP(D103,$AB$5:$AC$7),D103)</f>
        <v>0</v>
      </c>
      <c r="Q103" s="208">
        <f t="shared" si="13"/>
        <v>0</v>
      </c>
      <c r="R103" s="301" t="str">
        <f t="shared" ca="1" si="14"/>
        <v/>
      </c>
      <c r="S103" s="305">
        <f>H103</f>
        <v>0</v>
      </c>
      <c r="T103" s="150"/>
      <c r="U103" s="216">
        <f ca="1">IF(L103="l","",IF(D103+F103&gt;0,SUM(Z103:AA103),-1))</f>
        <v>-1</v>
      </c>
      <c r="V103" s="395"/>
      <c r="W103" s="107"/>
      <c r="Z103" s="114">
        <f>IF(D103&gt;0,0,TRUNC(F103*T103+Y103*X103))</f>
        <v>0</v>
      </c>
      <c r="AA103" t="b">
        <f>IF($D103=1,SUM(Z$13:Z101)-SUM(AA$13:AA101),IF($D103=2,$AA$6,IF($D103=3,TRUNC($AA$6,-3))))</f>
        <v>0</v>
      </c>
      <c r="AB103">
        <f ca="1">IF(OR(AC$8=0,L102="l",D103&gt;0,U103=-1),0,IF(L102="b",-U103,TRUNC(F102*T103)))</f>
        <v>0</v>
      </c>
      <c r="AC103" t="b">
        <f>IF($D103=1,SUM(AB$13:AB101)-SUM(AC$13:AC101),IF($D103=2,$AA$5,IF($D103=3,TRUNC($AA$5,-3))))</f>
        <v>0</v>
      </c>
    </row>
    <row r="104" spans="3:29" ht="15" customHeight="1" x14ac:dyDescent="0.15">
      <c r="C104" s="182"/>
      <c r="D104" s="210"/>
      <c r="E104" s="184"/>
      <c r="F104" s="227"/>
      <c r="G104" s="297" t="str">
        <f ca="1">IF(OR(AC$8=0,L104="b"),"",IF(L104="l",0,"("&amp;FIXED(-F104,K105,0)&amp;M104))</f>
        <v/>
      </c>
      <c r="H104" s="183"/>
      <c r="I104" s="185"/>
      <c r="L104" t="str">
        <f t="shared" ca="1" si="12"/>
        <v>b</v>
      </c>
      <c r="M104" t="str">
        <f>")"&amp;REPT(" ",2-K105)&amp;IF(K105=0," ","")</f>
        <v xml:space="preserve">)   </v>
      </c>
      <c r="O104" s="194"/>
      <c r="P104" s="207">
        <f>D104</f>
        <v>0</v>
      </c>
      <c r="Q104" s="207">
        <f t="shared" si="13"/>
        <v>0</v>
      </c>
      <c r="R104" s="300" t="str">
        <f t="shared" ca="1" si="14"/>
        <v/>
      </c>
      <c r="S104" s="304"/>
      <c r="T104" s="149"/>
      <c r="U104" s="206">
        <f ca="1">IF(OR(AC$8=0,SUM(Z105:AC105)=0),1,IF(L104="l","",SUM(AB105:AC105)))</f>
        <v>1</v>
      </c>
      <c r="V104" s="394"/>
      <c r="W104" s="50"/>
    </row>
    <row r="105" spans="3:29" ht="15" customHeight="1" x14ac:dyDescent="0.15">
      <c r="C105" s="186"/>
      <c r="D105" s="205"/>
      <c r="E105" s="188"/>
      <c r="F105" s="226"/>
      <c r="G105" s="296" t="str">
        <f ca="1">IF(L105="b","",IF(L105="l",0,FIXED(F105,K105,0)&amp;M105))</f>
        <v/>
      </c>
      <c r="H105" s="187"/>
      <c r="I105" s="189"/>
      <c r="K105" s="215"/>
      <c r="L105" t="str">
        <f t="shared" ca="1" si="12"/>
        <v>b</v>
      </c>
      <c r="M105" t="str">
        <f>REPT(" ",3-K105)&amp;IF(K105=0," ","")</f>
        <v xml:space="preserve">    </v>
      </c>
      <c r="O105" s="194"/>
      <c r="P105" s="208">
        <f>IF(ISNUMBER(D105),LOOKUP(D105,$AB$5:$AC$7),D105)</f>
        <v>0</v>
      </c>
      <c r="Q105" s="208">
        <f t="shared" si="13"/>
        <v>0</v>
      </c>
      <c r="R105" s="301" t="str">
        <f t="shared" ca="1" si="14"/>
        <v/>
      </c>
      <c r="S105" s="305">
        <f>H105</f>
        <v>0</v>
      </c>
      <c r="T105" s="150"/>
      <c r="U105" s="216">
        <f ca="1">IF(L105="l","",IF(D105+F105&gt;0,SUM(Z105:AA105),-1))</f>
        <v>-1</v>
      </c>
      <c r="V105" s="395"/>
      <c r="W105" s="107"/>
      <c r="Z105" s="114">
        <f>IF(D105&gt;0,0,TRUNC(F105*T105+Y105*X105))</f>
        <v>0</v>
      </c>
      <c r="AA105" t="b">
        <f>IF($D105=1,SUM(Z$13:Z103)-SUM(AA$13:AA103),IF($D105=2,$AA$6,IF($D105=3,TRUNC($AA$6,-3))))</f>
        <v>0</v>
      </c>
      <c r="AB105">
        <f ca="1">IF(OR(AC$8=0,L104="l",D105&gt;0,U105=-1),0,IF(L104="b",-U105,TRUNC(F104*T105)))</f>
        <v>0</v>
      </c>
      <c r="AC105" t="b">
        <f>IF($D105=1,SUM(AB$13:AB103)-SUM(AC$13:AC103),IF($D105=2,$AA$5,IF($D105=3,TRUNC($AA$5,-3))))</f>
        <v>0</v>
      </c>
    </row>
    <row r="106" spans="3:29" ht="15" customHeight="1" x14ac:dyDescent="0.15">
      <c r="C106" s="182"/>
      <c r="D106" s="210"/>
      <c r="E106" s="184"/>
      <c r="F106" s="227"/>
      <c r="G106" s="297" t="str">
        <f ca="1">IF(OR(AC$8=0,L106="b"),"",IF(L106="l",0,"("&amp;FIXED(-F106,K107,0)&amp;M106))</f>
        <v/>
      </c>
      <c r="H106" s="183"/>
      <c r="I106" s="185"/>
      <c r="L106" t="str">
        <f t="shared" ca="1" si="12"/>
        <v>b</v>
      </c>
      <c r="M106" t="str">
        <f>")"&amp;REPT(" ",2-K107)&amp;IF(K107=0," ","")</f>
        <v xml:space="preserve">)   </v>
      </c>
      <c r="O106" s="194"/>
      <c r="P106" s="207">
        <f>D106</f>
        <v>0</v>
      </c>
      <c r="Q106" s="207">
        <f t="shared" si="13"/>
        <v>0</v>
      </c>
      <c r="R106" s="300" t="str">
        <f t="shared" ca="1" si="14"/>
        <v/>
      </c>
      <c r="S106" s="304"/>
      <c r="T106" s="149"/>
      <c r="U106" s="206">
        <f ca="1">IF(OR(AC$8=0,SUM(Z107:AC107)=0),1,IF(L106="l","",SUM(AB107:AC107)))</f>
        <v>1</v>
      </c>
      <c r="V106" s="394"/>
      <c r="W106" s="50"/>
    </row>
    <row r="107" spans="3:29" ht="15" customHeight="1" x14ac:dyDescent="0.15">
      <c r="C107" s="186"/>
      <c r="D107" s="205"/>
      <c r="E107" s="188"/>
      <c r="F107" s="226"/>
      <c r="G107" s="296" t="str">
        <f ca="1">IF(L107="b","",IF(L107="l",0,FIXED(F107,K107,0)&amp;M107))</f>
        <v/>
      </c>
      <c r="H107" s="187"/>
      <c r="I107" s="189"/>
      <c r="K107" s="215"/>
      <c r="L107" t="str">
        <f t="shared" ca="1" si="12"/>
        <v>b</v>
      </c>
      <c r="M107" t="str">
        <f>REPT(" ",3-K107)&amp;IF(K107=0," ","")</f>
        <v xml:space="preserve">    </v>
      </c>
      <c r="O107" s="194"/>
      <c r="P107" s="208">
        <f>IF(ISNUMBER(D107),LOOKUP(D107,$AB$5:$AC$7),D107)</f>
        <v>0</v>
      </c>
      <c r="Q107" s="208">
        <f t="shared" si="13"/>
        <v>0</v>
      </c>
      <c r="R107" s="301" t="str">
        <f t="shared" ca="1" si="14"/>
        <v/>
      </c>
      <c r="S107" s="305">
        <f>H107</f>
        <v>0</v>
      </c>
      <c r="T107" s="150"/>
      <c r="U107" s="216">
        <f ca="1">IF(L107="l","",IF(D107+F107&gt;0,SUM(Z107:AA107),-1))</f>
        <v>-1</v>
      </c>
      <c r="V107" s="395"/>
      <c r="W107" s="107"/>
      <c r="Z107" s="114">
        <f>IF(D107&gt;0,0,TRUNC(F107*T107+Y107*X107))</f>
        <v>0</v>
      </c>
      <c r="AA107" t="b">
        <f>IF($D107=1,SUM(Z$13:Z105)-SUM(AA$13:AA105),IF($D107=2,$AA$6,IF($D107=3,TRUNC($AA$6,-3))))</f>
        <v>0</v>
      </c>
      <c r="AB107">
        <f ca="1">IF(OR(AC$8=0,L106="l",D107&gt;0,U107=-1),0,IF(L106="b",-U107,TRUNC(F106*T107)))</f>
        <v>0</v>
      </c>
      <c r="AC107" t="b">
        <f>IF($D107=1,SUM(AB$13:AB105)-SUM(AC$13:AC105),IF($D107=2,$AA$5,IF($D107=3,TRUNC($AA$5,-3))))</f>
        <v>0</v>
      </c>
    </row>
    <row r="108" spans="3:29" ht="15" customHeight="1" x14ac:dyDescent="0.15">
      <c r="C108" s="182"/>
      <c r="D108" s="210"/>
      <c r="E108" s="184"/>
      <c r="F108" s="227"/>
      <c r="G108" s="297" t="str">
        <f ca="1">IF(OR(AC$8=0,L108="b"),"",IF(L108="l",0,"("&amp;FIXED(-F108,K109,0)&amp;M108))</f>
        <v/>
      </c>
      <c r="H108" s="183"/>
      <c r="I108" s="185"/>
      <c r="L108" t="str">
        <f t="shared" ca="1" si="12"/>
        <v>b</v>
      </c>
      <c r="M108" t="str">
        <f>")"&amp;REPT(" ",2-K109)&amp;IF(K109=0," ","")</f>
        <v xml:space="preserve">)   </v>
      </c>
      <c r="O108" s="194"/>
      <c r="P108" s="207">
        <f>D108</f>
        <v>0</v>
      </c>
      <c r="Q108" s="207">
        <f t="shared" si="13"/>
        <v>0</v>
      </c>
      <c r="R108" s="300" t="str">
        <f t="shared" ca="1" si="14"/>
        <v/>
      </c>
      <c r="S108" s="304"/>
      <c r="T108" s="149"/>
      <c r="U108" s="206">
        <f ca="1">IF(OR(AC$8=0,SUM(Z109:AC109)=0),1,IF(L108="l","",SUM(AB109:AC109)))</f>
        <v>1</v>
      </c>
      <c r="V108" s="394"/>
      <c r="W108" s="50"/>
    </row>
    <row r="109" spans="3:29" ht="15" customHeight="1" x14ac:dyDescent="0.15">
      <c r="C109" s="186"/>
      <c r="D109" s="205"/>
      <c r="E109" s="188"/>
      <c r="F109" s="226"/>
      <c r="G109" s="296" t="str">
        <f ca="1">IF(L109="b","",IF(L109="l",0,FIXED(F109,K109,0)&amp;M109))</f>
        <v/>
      </c>
      <c r="H109" s="187"/>
      <c r="I109" s="189"/>
      <c r="K109" s="215"/>
      <c r="L109" t="str">
        <f t="shared" ca="1" si="12"/>
        <v>b</v>
      </c>
      <c r="M109" t="str">
        <f>REPT(" ",3-K109)&amp;IF(K109=0," ","")</f>
        <v xml:space="preserve">    </v>
      </c>
      <c r="O109" s="194"/>
      <c r="P109" s="208">
        <f>IF(ISNUMBER(D109),LOOKUP(D109,$AB$5:$AC$7),D109)</f>
        <v>0</v>
      </c>
      <c r="Q109" s="208">
        <f t="shared" si="13"/>
        <v>0</v>
      </c>
      <c r="R109" s="301" t="str">
        <f t="shared" ca="1" si="14"/>
        <v/>
      </c>
      <c r="S109" s="305">
        <f>H109</f>
        <v>0</v>
      </c>
      <c r="T109" s="150"/>
      <c r="U109" s="216">
        <f ca="1">IF(L109="l","",IF(D109+F109&gt;0,SUM(Z109:AA109),-1))</f>
        <v>-1</v>
      </c>
      <c r="V109" s="395"/>
      <c r="W109" s="107"/>
      <c r="Z109" s="114">
        <f>IF(D109&gt;0,0,TRUNC(F109*T109+Y109*X109))</f>
        <v>0</v>
      </c>
      <c r="AA109" t="b">
        <f>IF($D109=1,SUM(Z$13:Z107)-SUM(AA$13:AA107),IF($D109=2,$AA$6,IF($D109=3,TRUNC($AA$6,-3))))</f>
        <v>0</v>
      </c>
      <c r="AB109">
        <f ca="1">IF(OR(AC$8=0,L108="l",D109&gt;0,U109=-1),0,IF(L108="b",-U109,TRUNC(F108*T109)))</f>
        <v>0</v>
      </c>
      <c r="AC109" t="b">
        <f>IF($D109=1,SUM(AB$13:AB107)-SUM(AC$13:AC107),IF($D109=2,$AA$5,IF($D109=3,TRUNC($AA$5,-3))))</f>
        <v>0</v>
      </c>
    </row>
    <row r="110" spans="3:29" ht="15" customHeight="1" x14ac:dyDescent="0.15">
      <c r="C110" s="182"/>
      <c r="D110" s="210"/>
      <c r="E110" s="184"/>
      <c r="F110" s="227"/>
      <c r="G110" s="297" t="str">
        <f ca="1">IF(OR(AC$8=0,L110="b"),"",IF(L110="l",0,"("&amp;FIXED(-F110,K111,0)&amp;M110))</f>
        <v/>
      </c>
      <c r="H110" s="183"/>
      <c r="I110" s="185"/>
      <c r="L110" t="str">
        <f t="shared" ref="L110:L143" ca="1" si="15">CELL("type",F110)</f>
        <v>b</v>
      </c>
      <c r="M110" t="str">
        <f>")"&amp;REPT(" ",2-K111)&amp;IF(K111=0," ","")</f>
        <v xml:space="preserve">)   </v>
      </c>
      <c r="O110" s="194"/>
      <c r="P110" s="207">
        <f>D110</f>
        <v>0</v>
      </c>
      <c r="Q110" s="207">
        <f t="shared" si="13"/>
        <v>0</v>
      </c>
      <c r="R110" s="300" t="str">
        <f t="shared" ref="R110:R143" ca="1" si="16">G110</f>
        <v/>
      </c>
      <c r="S110" s="304"/>
      <c r="T110" s="149"/>
      <c r="U110" s="206">
        <f ca="1">IF(OR(AC$8=0,SUM(Z111:AC111)=0),1,IF(L110="l","",SUM(AB111:AC111)))</f>
        <v>1</v>
      </c>
      <c r="V110" s="394"/>
      <c r="W110" s="50"/>
    </row>
    <row r="111" spans="3:29" ht="15" customHeight="1" x14ac:dyDescent="0.15">
      <c r="C111" s="186"/>
      <c r="D111" s="205"/>
      <c r="E111" s="188"/>
      <c r="F111" s="226"/>
      <c r="G111" s="296" t="str">
        <f ca="1">IF(L111="b","",IF(L111="l",0,FIXED(F111,K111,0)&amp;M111))</f>
        <v/>
      </c>
      <c r="H111" s="187"/>
      <c r="I111" s="189"/>
      <c r="K111" s="215"/>
      <c r="L111" t="str">
        <f t="shared" ca="1" si="15"/>
        <v>b</v>
      </c>
      <c r="M111" t="str">
        <f>REPT(" ",3-K111)&amp;IF(K111=0," ","")</f>
        <v xml:space="preserve">    </v>
      </c>
      <c r="O111" s="194"/>
      <c r="P111" s="208">
        <f>IF(ISNUMBER(D111),LOOKUP(D111,$AB$5:$AC$7),D111)</f>
        <v>0</v>
      </c>
      <c r="Q111" s="208">
        <f t="shared" ref="Q111:Q143" si="17">E111</f>
        <v>0</v>
      </c>
      <c r="R111" s="301" t="str">
        <f t="shared" ca="1" si="16"/>
        <v/>
      </c>
      <c r="S111" s="305">
        <f>H111</f>
        <v>0</v>
      </c>
      <c r="T111" s="150"/>
      <c r="U111" s="216">
        <f ca="1">IF(L111="l","",IF(D111+F111&gt;0,SUM(Z111:AA111),-1))</f>
        <v>-1</v>
      </c>
      <c r="V111" s="395"/>
      <c r="W111" s="107"/>
      <c r="Z111" s="114">
        <f>IF(D111&gt;0,0,TRUNC(F111*T111+Y111*X111))</f>
        <v>0</v>
      </c>
      <c r="AA111" t="b">
        <f>IF($D111=1,SUM(Z$13:Z109)-SUM(AA$13:AA109),IF($D111=2,$AA$6,IF($D111=3,TRUNC($AA$6,-3))))</f>
        <v>0</v>
      </c>
      <c r="AB111">
        <f ca="1">IF(OR(AC$8=0,L110="l",D111&gt;0,U111=-1),0,IF(L110="b",-U111,TRUNC(F110*T111)))</f>
        <v>0</v>
      </c>
      <c r="AC111" t="b">
        <f>IF($D111=1,SUM(AB$13:AB109)-SUM(AC$13:AC109),IF($D111=2,$AA$5,IF($D111=3,TRUNC($AA$5,-3))))</f>
        <v>0</v>
      </c>
    </row>
    <row r="112" spans="3:29" ht="15" customHeight="1" x14ac:dyDescent="0.15">
      <c r="C112" s="182"/>
      <c r="D112" s="210"/>
      <c r="E112" s="184"/>
      <c r="F112" s="227"/>
      <c r="G112" s="297" t="str">
        <f ca="1">IF(OR(AC$8=0,L112="b"),"",IF(L112="l",0,"("&amp;FIXED(-F112,K113,0)&amp;M112))</f>
        <v/>
      </c>
      <c r="H112" s="183"/>
      <c r="I112" s="185"/>
      <c r="L112" t="str">
        <f t="shared" ca="1" si="15"/>
        <v>b</v>
      </c>
      <c r="M112" t="str">
        <f>")"&amp;REPT(" ",2-K113)&amp;IF(K113=0," ","")</f>
        <v xml:space="preserve">)   </v>
      </c>
      <c r="O112" s="194"/>
      <c r="P112" s="207">
        <f>D112</f>
        <v>0</v>
      </c>
      <c r="Q112" s="207">
        <f t="shared" si="17"/>
        <v>0</v>
      </c>
      <c r="R112" s="300" t="str">
        <f t="shared" ca="1" si="16"/>
        <v/>
      </c>
      <c r="S112" s="304"/>
      <c r="T112" s="149"/>
      <c r="U112" s="206">
        <f ca="1">IF(OR(AC$8=0,SUM(Z113:AC113)=0),1,IF(L112="l","",SUM(AB113:AC113)))</f>
        <v>1</v>
      </c>
      <c r="V112" s="394"/>
      <c r="W112" s="50"/>
    </row>
    <row r="113" spans="3:29" ht="15" customHeight="1" x14ac:dyDescent="0.15">
      <c r="C113" s="186"/>
      <c r="D113" s="205"/>
      <c r="E113" s="188"/>
      <c r="F113" s="226"/>
      <c r="G113" s="296" t="str">
        <f ca="1">IF(L113="b","",IF(L113="l",0,FIXED(F113,K113,0)&amp;M113))</f>
        <v/>
      </c>
      <c r="H113" s="187"/>
      <c r="I113" s="189"/>
      <c r="K113" s="215"/>
      <c r="L113" t="str">
        <f t="shared" ca="1" si="15"/>
        <v>b</v>
      </c>
      <c r="M113" t="str">
        <f>REPT(" ",3-K113)&amp;IF(K113=0," ","")</f>
        <v xml:space="preserve">    </v>
      </c>
      <c r="O113" s="194"/>
      <c r="P113" s="208">
        <f>IF(ISNUMBER(D113),LOOKUP(D113,$AB$5:$AC$7),D113)</f>
        <v>0</v>
      </c>
      <c r="Q113" s="208">
        <f t="shared" si="17"/>
        <v>0</v>
      </c>
      <c r="R113" s="301" t="str">
        <f t="shared" ca="1" si="16"/>
        <v/>
      </c>
      <c r="S113" s="305">
        <f>H113</f>
        <v>0</v>
      </c>
      <c r="T113" s="150"/>
      <c r="U113" s="216">
        <f ca="1">IF(L113="l","",IF(D113+F113&gt;0,SUM(Z113:AA113),-1))</f>
        <v>-1</v>
      </c>
      <c r="V113" s="395"/>
      <c r="W113" s="107"/>
      <c r="Z113" s="114">
        <f>IF(D113&gt;0,0,TRUNC(F113*T113+Y113*X113))</f>
        <v>0</v>
      </c>
      <c r="AA113" t="b">
        <f>IF($D113=1,SUM(Z$13:Z111)-SUM(AA$13:AA111),IF($D113=2,$AA$6,IF($D113=3,TRUNC($AA$6,-3))))</f>
        <v>0</v>
      </c>
      <c r="AB113">
        <f ca="1">IF(OR(AC$8=0,L112="l",D113&gt;0,U113=-1),0,IF(L112="b",-U113,TRUNC(F112*T113)))</f>
        <v>0</v>
      </c>
      <c r="AC113" t="b">
        <f>IF($D113=1,SUM(AB$13:AB111)-SUM(AC$13:AC111),IF($D113=2,$AA$5,IF($D113=3,TRUNC($AA$5,-3))))</f>
        <v>0</v>
      </c>
    </row>
    <row r="114" spans="3:29" ht="15" customHeight="1" x14ac:dyDescent="0.15">
      <c r="C114" s="182"/>
      <c r="D114" s="210"/>
      <c r="E114" s="184"/>
      <c r="F114" s="227"/>
      <c r="G114" s="297" t="str">
        <f ca="1">IF(OR(AC$8=0,L114="b"),"",IF(L114="l",0,"("&amp;FIXED(-F114,K115,0)&amp;M114))</f>
        <v/>
      </c>
      <c r="H114" s="183"/>
      <c r="I114" s="185"/>
      <c r="L114" t="str">
        <f t="shared" ca="1" si="15"/>
        <v>b</v>
      </c>
      <c r="M114" t="str">
        <f>")"&amp;REPT(" ",2-K115)&amp;IF(K115=0," ","")</f>
        <v xml:space="preserve">)   </v>
      </c>
      <c r="O114" s="194"/>
      <c r="P114" s="207">
        <f>D114</f>
        <v>0</v>
      </c>
      <c r="Q114" s="207">
        <f t="shared" si="17"/>
        <v>0</v>
      </c>
      <c r="R114" s="300" t="str">
        <f t="shared" ca="1" si="16"/>
        <v/>
      </c>
      <c r="S114" s="304"/>
      <c r="T114" s="149"/>
      <c r="U114" s="206">
        <f ca="1">IF(OR(AC$8=0,SUM(Z115:AC115)=0),1,IF(L114="l","",SUM(AB115:AC115)))</f>
        <v>1</v>
      </c>
      <c r="V114" s="394"/>
      <c r="W114" s="50"/>
    </row>
    <row r="115" spans="3:29" ht="15" customHeight="1" x14ac:dyDescent="0.15">
      <c r="C115" s="186"/>
      <c r="D115" s="205"/>
      <c r="E115" s="188"/>
      <c r="F115" s="226"/>
      <c r="G115" s="296" t="str">
        <f ca="1">IF(L115="b","",IF(L115="l",0,FIXED(F115,K115,0)&amp;M115))</f>
        <v/>
      </c>
      <c r="H115" s="187"/>
      <c r="I115" s="189"/>
      <c r="K115" s="215"/>
      <c r="L115" t="str">
        <f t="shared" ca="1" si="15"/>
        <v>b</v>
      </c>
      <c r="M115" t="str">
        <f>REPT(" ",3-K115)&amp;IF(K115=0," ","")</f>
        <v xml:space="preserve">    </v>
      </c>
      <c r="O115" s="194"/>
      <c r="P115" s="208">
        <f>IF(ISNUMBER(D115),LOOKUP(D115,$AB$5:$AC$7),D115)</f>
        <v>0</v>
      </c>
      <c r="Q115" s="208">
        <f t="shared" si="17"/>
        <v>0</v>
      </c>
      <c r="R115" s="301" t="str">
        <f t="shared" ca="1" si="16"/>
        <v/>
      </c>
      <c r="S115" s="305">
        <f>H115</f>
        <v>0</v>
      </c>
      <c r="T115" s="150"/>
      <c r="U115" s="216">
        <f ca="1">IF(L115="l","",IF(D115+F115&gt;0,SUM(Z115:AA115),-1))</f>
        <v>-1</v>
      </c>
      <c r="V115" s="395"/>
      <c r="W115" s="107"/>
      <c r="Z115" s="114">
        <f>IF(D115&gt;0,0,TRUNC(F115*T115+Y115*X115))</f>
        <v>0</v>
      </c>
      <c r="AA115" t="b">
        <f>IF($D115=1,SUM(Z$13:Z113)-SUM(AA$13:AA113),IF($D115=2,$AA$6,IF($D115=3,TRUNC($AA$6,-3))))</f>
        <v>0</v>
      </c>
      <c r="AB115">
        <f ca="1">IF(OR(AC$8=0,L114="l",D115&gt;0,U115=-1),0,IF(L114="b",-U115,TRUNC(F114*T115)))</f>
        <v>0</v>
      </c>
      <c r="AC115" t="b">
        <f>IF($D115=1,SUM(AB$13:AB113)-SUM(AC$13:AC113),IF($D115=2,$AA$5,IF($D115=3,TRUNC($AA$5,-3))))</f>
        <v>0</v>
      </c>
    </row>
    <row r="116" spans="3:29" ht="15" customHeight="1" x14ac:dyDescent="0.15">
      <c r="C116" s="182"/>
      <c r="D116" s="210"/>
      <c r="E116" s="184"/>
      <c r="F116" s="227"/>
      <c r="G116" s="297" t="str">
        <f ca="1">IF(OR(AC$8=0,L116="b"),"",IF(L116="l",0,"("&amp;FIXED(-F116,K117,0)&amp;M116))</f>
        <v/>
      </c>
      <c r="H116" s="183"/>
      <c r="I116" s="185"/>
      <c r="L116" t="str">
        <f t="shared" ca="1" si="15"/>
        <v>b</v>
      </c>
      <c r="M116" t="str">
        <f>")"&amp;REPT(" ",2-K117)&amp;IF(K117=0," ","")</f>
        <v xml:space="preserve">)   </v>
      </c>
      <c r="O116" s="194"/>
      <c r="P116" s="207">
        <f>D116</f>
        <v>0</v>
      </c>
      <c r="Q116" s="207">
        <f t="shared" si="17"/>
        <v>0</v>
      </c>
      <c r="R116" s="300" t="str">
        <f t="shared" ca="1" si="16"/>
        <v/>
      </c>
      <c r="S116" s="304"/>
      <c r="T116" s="149"/>
      <c r="U116" s="206">
        <f ca="1">IF(OR(AC$8=0,SUM(Z117:AC117)=0),1,IF(L116="l","",SUM(AB117:AC117)))</f>
        <v>1</v>
      </c>
      <c r="V116" s="394"/>
      <c r="W116" s="50"/>
    </row>
    <row r="117" spans="3:29" ht="15" customHeight="1" x14ac:dyDescent="0.15">
      <c r="C117" s="186"/>
      <c r="D117" s="205"/>
      <c r="E117" s="188"/>
      <c r="F117" s="226"/>
      <c r="G117" s="296" t="str">
        <f ca="1">IF(L117="b","",IF(L117="l",0,FIXED(F117,K117,0)&amp;M117))</f>
        <v/>
      </c>
      <c r="H117" s="187"/>
      <c r="I117" s="189"/>
      <c r="K117" s="215"/>
      <c r="L117" t="str">
        <f t="shared" ca="1" si="15"/>
        <v>b</v>
      </c>
      <c r="M117" t="str">
        <f>REPT(" ",3-K117)&amp;IF(K117=0," ","")</f>
        <v xml:space="preserve">    </v>
      </c>
      <c r="O117" s="194"/>
      <c r="P117" s="208">
        <f>IF(ISNUMBER(D117),LOOKUP(D117,$AB$5:$AC$7),D117)</f>
        <v>0</v>
      </c>
      <c r="Q117" s="208">
        <f t="shared" si="17"/>
        <v>0</v>
      </c>
      <c r="R117" s="301" t="str">
        <f t="shared" ca="1" si="16"/>
        <v/>
      </c>
      <c r="S117" s="305">
        <f>H117</f>
        <v>0</v>
      </c>
      <c r="T117" s="150"/>
      <c r="U117" s="216">
        <f ca="1">IF(L117="l","",IF(D117+F117&gt;0,SUM(Z117:AA117),-1))</f>
        <v>-1</v>
      </c>
      <c r="V117" s="395"/>
      <c r="W117" s="107"/>
      <c r="Z117" s="114">
        <f>IF(D117&gt;0,0,TRUNC(F117*T117+Y117*X117))</f>
        <v>0</v>
      </c>
      <c r="AA117" t="b">
        <f>IF($D117=1,SUM(Z$13:Z115)-SUM(AA$13:AA115),IF($D117=2,$AA$6,IF($D117=3,TRUNC($AA$6,-3))))</f>
        <v>0</v>
      </c>
      <c r="AB117">
        <f ca="1">IF(OR(AC$8=0,L116="l",D117&gt;0,U117=-1),0,IF(L116="b",-U117,TRUNC(F116*T117)))</f>
        <v>0</v>
      </c>
      <c r="AC117" t="b">
        <f>IF($D117=1,SUM(AB$13:AB115)-SUM(AC$13:AC115),IF($D117=2,$AA$5,IF($D117=3,TRUNC($AA$5,-3))))</f>
        <v>0</v>
      </c>
    </row>
    <row r="118" spans="3:29" ht="15" customHeight="1" x14ac:dyDescent="0.15">
      <c r="C118" s="182"/>
      <c r="D118" s="210"/>
      <c r="E118" s="184"/>
      <c r="F118" s="227"/>
      <c r="G118" s="297" t="str">
        <f ca="1">IF(OR(AC$8=0,L118="b"),"",IF(L118="l",0,"("&amp;FIXED(-F118,K119,0)&amp;M118))</f>
        <v/>
      </c>
      <c r="H118" s="183"/>
      <c r="I118" s="185"/>
      <c r="L118" t="str">
        <f t="shared" ca="1" si="15"/>
        <v>b</v>
      </c>
      <c r="M118" t="str">
        <f>")"&amp;REPT(" ",2-K119)&amp;IF(K119=0," ","")</f>
        <v xml:space="preserve">)   </v>
      </c>
      <c r="O118" s="194"/>
      <c r="P118" s="207">
        <f>D118</f>
        <v>0</v>
      </c>
      <c r="Q118" s="207">
        <f t="shared" si="17"/>
        <v>0</v>
      </c>
      <c r="R118" s="300" t="str">
        <f t="shared" ca="1" si="16"/>
        <v/>
      </c>
      <c r="S118" s="304"/>
      <c r="T118" s="149"/>
      <c r="U118" s="206">
        <f ca="1">IF(OR(AC$8=0,SUM(Z119:AC119)=0),1,IF(L118="l","",SUM(AB119:AC119)))</f>
        <v>1</v>
      </c>
      <c r="V118" s="394"/>
      <c r="W118" s="50"/>
    </row>
    <row r="119" spans="3:29" ht="15" customHeight="1" x14ac:dyDescent="0.15">
      <c r="C119" s="186"/>
      <c r="D119" s="205"/>
      <c r="E119" s="188"/>
      <c r="F119" s="226"/>
      <c r="G119" s="296" t="str">
        <f ca="1">IF(L119="b","",IF(L119="l",0,FIXED(F119,K119,0)&amp;M119))</f>
        <v/>
      </c>
      <c r="H119" s="187"/>
      <c r="I119" s="189"/>
      <c r="K119" s="215"/>
      <c r="L119" t="str">
        <f t="shared" ca="1" si="15"/>
        <v>b</v>
      </c>
      <c r="M119" t="str">
        <f>REPT(" ",3-K119)&amp;IF(K119=0," ","")</f>
        <v xml:space="preserve">    </v>
      </c>
      <c r="O119" s="194"/>
      <c r="P119" s="208">
        <f>IF(ISNUMBER(D119),LOOKUP(D119,$AB$5:$AC$7),D119)</f>
        <v>0</v>
      </c>
      <c r="Q119" s="208">
        <f t="shared" si="17"/>
        <v>0</v>
      </c>
      <c r="R119" s="301" t="str">
        <f t="shared" ca="1" si="16"/>
        <v/>
      </c>
      <c r="S119" s="305">
        <f>H119</f>
        <v>0</v>
      </c>
      <c r="T119" s="150"/>
      <c r="U119" s="216">
        <f ca="1">IF(L119="l","",IF(D119+F119&gt;0,SUM(Z119:AA119),-1))</f>
        <v>-1</v>
      </c>
      <c r="V119" s="395"/>
      <c r="W119" s="107"/>
      <c r="Z119" s="114">
        <f>IF(D119&gt;0,0,TRUNC(F119*T119+Y119*X119))</f>
        <v>0</v>
      </c>
      <c r="AA119" t="b">
        <f>IF($D119=1,SUM(Z$13:Z117)-SUM(AA$13:AA117),IF($D119=2,$AA$6,IF($D119=3,TRUNC($AA$6,-3))))</f>
        <v>0</v>
      </c>
      <c r="AB119">
        <f ca="1">IF(OR(AC$8=0,L118="l",D119&gt;0,U119=-1),0,IF(L118="b",-U119,TRUNC(F118*T119)))</f>
        <v>0</v>
      </c>
      <c r="AC119" t="b">
        <f>IF($D119=1,SUM(AB$13:AB117)-SUM(AC$13:AC117),IF($D119=2,$AA$5,IF($D119=3,TRUNC($AA$5,-3))))</f>
        <v>0</v>
      </c>
    </row>
    <row r="120" spans="3:29" ht="15" customHeight="1" x14ac:dyDescent="0.15">
      <c r="C120" s="182"/>
      <c r="D120" s="210"/>
      <c r="E120" s="184"/>
      <c r="F120" s="227"/>
      <c r="G120" s="297" t="str">
        <f ca="1">IF(OR(AC$8=0,L120="b"),"",IF(L120="l",0,"("&amp;FIXED(-F120,K121,0)&amp;M120))</f>
        <v/>
      </c>
      <c r="H120" s="183"/>
      <c r="I120" s="185"/>
      <c r="L120" t="str">
        <f t="shared" ca="1" si="15"/>
        <v>b</v>
      </c>
      <c r="M120" t="str">
        <f>")"&amp;REPT(" ",2-K121)&amp;IF(K121=0," ","")</f>
        <v xml:space="preserve">)   </v>
      </c>
      <c r="O120" s="194"/>
      <c r="P120" s="207">
        <f>D120</f>
        <v>0</v>
      </c>
      <c r="Q120" s="207">
        <f t="shared" si="17"/>
        <v>0</v>
      </c>
      <c r="R120" s="300" t="str">
        <f t="shared" ca="1" si="16"/>
        <v/>
      </c>
      <c r="S120" s="304"/>
      <c r="T120" s="149"/>
      <c r="U120" s="206">
        <f ca="1">IF(OR(AC$8=0,SUM(Z121:AC121)=0),1,IF(L120="l","",SUM(AB121:AC121)))</f>
        <v>1</v>
      </c>
      <c r="V120" s="394"/>
      <c r="W120" s="50"/>
    </row>
    <row r="121" spans="3:29" ht="15" customHeight="1" x14ac:dyDescent="0.15">
      <c r="C121" s="186"/>
      <c r="D121" s="205"/>
      <c r="E121" s="188"/>
      <c r="F121" s="226"/>
      <c r="G121" s="296" t="str">
        <f ca="1">IF(L121="b","",IF(L121="l",0,FIXED(F121,K121,0)&amp;M121))</f>
        <v/>
      </c>
      <c r="H121" s="187"/>
      <c r="I121" s="189"/>
      <c r="K121" s="215"/>
      <c r="L121" t="str">
        <f t="shared" ca="1" si="15"/>
        <v>b</v>
      </c>
      <c r="M121" t="str">
        <f>REPT(" ",3-K121)&amp;IF(K121=0," ","")</f>
        <v xml:space="preserve">    </v>
      </c>
      <c r="O121" s="194"/>
      <c r="P121" s="208">
        <f>IF(ISNUMBER(D121),LOOKUP(D121,$AB$5:$AC$7),D121)</f>
        <v>0</v>
      </c>
      <c r="Q121" s="208">
        <f t="shared" si="17"/>
        <v>0</v>
      </c>
      <c r="R121" s="301" t="str">
        <f t="shared" ca="1" si="16"/>
        <v/>
      </c>
      <c r="S121" s="305">
        <f>H121</f>
        <v>0</v>
      </c>
      <c r="T121" s="150"/>
      <c r="U121" s="216">
        <f ca="1">IF(L121="l","",IF(D121+F121&gt;0,SUM(Z121:AA121),-1))</f>
        <v>-1</v>
      </c>
      <c r="V121" s="395"/>
      <c r="W121" s="107"/>
      <c r="Z121" s="114">
        <f>IF(D121&gt;0,0,TRUNC(F121*T121+Y121*X121))</f>
        <v>0</v>
      </c>
      <c r="AA121" t="b">
        <f>IF($D121=1,SUM(Z$13:Z119)-SUM(AA$13:AA119),IF($D121=2,$AA$6,IF($D121=3,TRUNC($AA$6,-3))))</f>
        <v>0</v>
      </c>
      <c r="AB121">
        <f ca="1">IF(OR(AC$8=0,L120="l",D121&gt;0,U121=-1),0,IF(L120="b",-U121,TRUNC(F120*T121)))</f>
        <v>0</v>
      </c>
      <c r="AC121" t="b">
        <f>IF($D121=1,SUM(AB$13:AB119)-SUM(AC$13:AC119),IF($D121=2,$AA$5,IF($D121=3,TRUNC($AA$5,-3))))</f>
        <v>0</v>
      </c>
    </row>
    <row r="122" spans="3:29" ht="15" customHeight="1" x14ac:dyDescent="0.15">
      <c r="C122" s="182"/>
      <c r="D122" s="210"/>
      <c r="E122" s="184"/>
      <c r="F122" s="227"/>
      <c r="G122" s="297" t="str">
        <f ca="1">IF(OR(AC$8=0,L122="b"),"",IF(L122="l",0,"("&amp;FIXED(-F122,K123,0)&amp;M122))</f>
        <v/>
      </c>
      <c r="H122" s="183"/>
      <c r="I122" s="185"/>
      <c r="L122" t="str">
        <f t="shared" ca="1" si="15"/>
        <v>b</v>
      </c>
      <c r="M122" t="str">
        <f>")"&amp;REPT(" ",2-K123)&amp;IF(K123=0," ","")</f>
        <v xml:space="preserve">)   </v>
      </c>
      <c r="O122" s="194"/>
      <c r="P122" s="207">
        <f>D122</f>
        <v>0</v>
      </c>
      <c r="Q122" s="207">
        <f t="shared" si="17"/>
        <v>0</v>
      </c>
      <c r="R122" s="300" t="str">
        <f t="shared" ca="1" si="16"/>
        <v/>
      </c>
      <c r="S122" s="304"/>
      <c r="T122" s="149"/>
      <c r="U122" s="206">
        <f ca="1">IF(OR(AC$8=0,SUM(Z123:AC123)=0),1,IF(L122="l","",SUM(AB123:AC123)))</f>
        <v>1</v>
      </c>
      <c r="V122" s="394"/>
      <c r="W122" s="50"/>
    </row>
    <row r="123" spans="3:29" ht="15" customHeight="1" x14ac:dyDescent="0.15">
      <c r="C123" s="186"/>
      <c r="D123" s="205"/>
      <c r="E123" s="188"/>
      <c r="F123" s="226"/>
      <c r="G123" s="296" t="str">
        <f ca="1">IF(L123="b","",IF(L123="l",0,FIXED(F123,K123,0)&amp;M123))</f>
        <v/>
      </c>
      <c r="H123" s="187"/>
      <c r="I123" s="189"/>
      <c r="K123" s="215"/>
      <c r="L123" t="str">
        <f t="shared" ca="1" si="15"/>
        <v>b</v>
      </c>
      <c r="M123" t="str">
        <f>REPT(" ",3-K123)&amp;IF(K123=0," ","")</f>
        <v xml:space="preserve">    </v>
      </c>
      <c r="O123" s="194"/>
      <c r="P123" s="208">
        <f>IF(ISNUMBER(D123),LOOKUP(D123,$AB$5:$AC$7),D123)</f>
        <v>0</v>
      </c>
      <c r="Q123" s="208">
        <f t="shared" si="17"/>
        <v>0</v>
      </c>
      <c r="R123" s="301" t="str">
        <f t="shared" ca="1" si="16"/>
        <v/>
      </c>
      <c r="S123" s="305">
        <f>H123</f>
        <v>0</v>
      </c>
      <c r="T123" s="150"/>
      <c r="U123" s="216">
        <f ca="1">IF(L123="l","",IF(D123+F123&gt;0,SUM(Z123:AA123),-1))</f>
        <v>-1</v>
      </c>
      <c r="V123" s="395"/>
      <c r="W123" s="107"/>
      <c r="Z123" s="114">
        <f>IF(D123&gt;0,0,TRUNC(F123*T123+Y123*X123))</f>
        <v>0</v>
      </c>
      <c r="AA123" t="b">
        <f>IF($D123=1,SUM(Z$13:Z121)-SUM(AA$13:AA121),IF($D123=2,$AA$6,IF($D123=3,TRUNC($AA$6,-3))))</f>
        <v>0</v>
      </c>
      <c r="AB123">
        <f ca="1">IF(OR(AC$8=0,L122="l",D123&gt;0,U123=-1),0,IF(L122="b",-U123,TRUNC(F122*T123)))</f>
        <v>0</v>
      </c>
      <c r="AC123" t="b">
        <f>IF($D123=1,SUM(AB$13:AB121)-SUM(AC$13:AC121),IF($D123=2,$AA$5,IF($D123=3,TRUNC($AA$5,-3))))</f>
        <v>0</v>
      </c>
    </row>
    <row r="124" spans="3:29" ht="15" customHeight="1" x14ac:dyDescent="0.15">
      <c r="C124" s="182"/>
      <c r="D124" s="210"/>
      <c r="E124" s="184"/>
      <c r="F124" s="227"/>
      <c r="G124" s="297" t="str">
        <f ca="1">IF(OR(AC$8=0,L124="b"),"",IF(L124="l",0,"("&amp;FIXED(-F124,K125,0)&amp;M124))</f>
        <v/>
      </c>
      <c r="H124" s="183"/>
      <c r="I124" s="185"/>
      <c r="L124" t="str">
        <f t="shared" ca="1" si="15"/>
        <v>b</v>
      </c>
      <c r="M124" t="str">
        <f>")"&amp;REPT(" ",2-K125)&amp;IF(K125=0," ","")</f>
        <v xml:space="preserve">)   </v>
      </c>
      <c r="O124" s="194"/>
      <c r="P124" s="207">
        <f>D124</f>
        <v>0</v>
      </c>
      <c r="Q124" s="207">
        <f t="shared" si="17"/>
        <v>0</v>
      </c>
      <c r="R124" s="300" t="str">
        <f t="shared" ca="1" si="16"/>
        <v/>
      </c>
      <c r="S124" s="304"/>
      <c r="T124" s="149"/>
      <c r="U124" s="206">
        <f ca="1">IF(OR(AC$8=0,SUM(Z125:AC125)=0),1,IF(L124="l","",SUM(AB125:AC125)))</f>
        <v>1</v>
      </c>
      <c r="V124" s="394"/>
      <c r="W124" s="50"/>
    </row>
    <row r="125" spans="3:29" ht="15" customHeight="1" x14ac:dyDescent="0.15">
      <c r="C125" s="186"/>
      <c r="D125" s="205"/>
      <c r="E125" s="188"/>
      <c r="F125" s="226"/>
      <c r="G125" s="296" t="str">
        <f ca="1">IF(L125="b","",IF(L125="l",0,FIXED(F125,K125,0)&amp;M125))</f>
        <v/>
      </c>
      <c r="H125" s="187"/>
      <c r="I125" s="189"/>
      <c r="K125" s="215"/>
      <c r="L125" t="str">
        <f t="shared" ca="1" si="15"/>
        <v>b</v>
      </c>
      <c r="M125" t="str">
        <f>REPT(" ",3-K125)&amp;IF(K125=0," ","")</f>
        <v xml:space="preserve">    </v>
      </c>
      <c r="O125" s="194"/>
      <c r="P125" s="208">
        <f>IF(ISNUMBER(D125),LOOKUP(D125,$AB$5:$AC$7),D125)</f>
        <v>0</v>
      </c>
      <c r="Q125" s="208">
        <f t="shared" si="17"/>
        <v>0</v>
      </c>
      <c r="R125" s="301" t="str">
        <f t="shared" ca="1" si="16"/>
        <v/>
      </c>
      <c r="S125" s="305">
        <f>H125</f>
        <v>0</v>
      </c>
      <c r="T125" s="150"/>
      <c r="U125" s="216">
        <f ca="1">IF(L125="l","",IF(D125+F125&gt;0,SUM(Z125:AA125),-1))</f>
        <v>-1</v>
      </c>
      <c r="V125" s="395"/>
      <c r="W125" s="107"/>
      <c r="Z125" s="114">
        <f>IF(D125&gt;0,0,TRUNC(F125*T125+Y125*X125))</f>
        <v>0</v>
      </c>
      <c r="AA125" t="b">
        <f>IF($D125=1,SUM(Z$13:Z123)-SUM(AA$13:AA123),IF($D125=2,$AA$6,IF($D125=3,TRUNC($AA$6,-3))))</f>
        <v>0</v>
      </c>
      <c r="AB125">
        <f ca="1">IF(OR(AC$8=0,L124="l",D125&gt;0,U125=-1),0,IF(L124="b",-U125,TRUNC(F124*T125)))</f>
        <v>0</v>
      </c>
      <c r="AC125" t="b">
        <f>IF($D125=1,SUM(AB$13:AB123)-SUM(AC$13:AC123),IF($D125=2,$AA$5,IF($D125=3,TRUNC($AA$5,-3))))</f>
        <v>0</v>
      </c>
    </row>
    <row r="126" spans="3:29" ht="15" customHeight="1" x14ac:dyDescent="0.15">
      <c r="C126" s="182"/>
      <c r="D126" s="210"/>
      <c r="E126" s="184"/>
      <c r="F126" s="225"/>
      <c r="G126" s="297" t="str">
        <f ca="1">IF(OR(AC$8=0,L126="b"),"",IF(L126="l",0,"("&amp;FIXED(-F126,K127,0)&amp;M126))</f>
        <v/>
      </c>
      <c r="H126" s="183"/>
      <c r="I126" s="185"/>
      <c r="L126" t="str">
        <f t="shared" ca="1" si="15"/>
        <v>b</v>
      </c>
      <c r="M126" t="str">
        <f>")"&amp;REPT(" ",2-K127)&amp;IF(K127=0," ","")</f>
        <v xml:space="preserve">)   </v>
      </c>
      <c r="O126" s="194"/>
      <c r="P126" s="207">
        <f>D126</f>
        <v>0</v>
      </c>
      <c r="Q126" s="207">
        <f t="shared" si="17"/>
        <v>0</v>
      </c>
      <c r="R126" s="300" t="str">
        <f t="shared" ca="1" si="16"/>
        <v/>
      </c>
      <c r="S126" s="304"/>
      <c r="T126" s="149"/>
      <c r="U126" s="206">
        <f ca="1">IF(OR(AC$8=0,SUM(Z127:AC127)=0),1,IF(L126="l","",SUM(AB127:AC127)))</f>
        <v>1</v>
      </c>
      <c r="V126" s="394"/>
      <c r="W126" s="50"/>
    </row>
    <row r="127" spans="3:29" ht="15" customHeight="1" x14ac:dyDescent="0.15">
      <c r="C127" s="186"/>
      <c r="D127" s="205"/>
      <c r="E127" s="188"/>
      <c r="F127" s="226"/>
      <c r="G127" s="296" t="str">
        <f ca="1">IF(L127="b","",IF(L127="l",0,FIXED(F127,K127,0)&amp;M127))</f>
        <v/>
      </c>
      <c r="H127" s="187"/>
      <c r="I127" s="189"/>
      <c r="K127" s="215"/>
      <c r="L127" t="str">
        <f t="shared" ca="1" si="15"/>
        <v>b</v>
      </c>
      <c r="M127" t="str">
        <f>REPT(" ",3-K127)&amp;IF(K127=0," ","")</f>
        <v xml:space="preserve">    </v>
      </c>
      <c r="O127" s="194"/>
      <c r="P127" s="208">
        <f>IF(ISNUMBER(D127),LOOKUP(D127,$AB$5:$AC$7),D127)</f>
        <v>0</v>
      </c>
      <c r="Q127" s="208">
        <f t="shared" si="17"/>
        <v>0</v>
      </c>
      <c r="R127" s="301" t="str">
        <f t="shared" ca="1" si="16"/>
        <v/>
      </c>
      <c r="S127" s="305">
        <f>H127</f>
        <v>0</v>
      </c>
      <c r="T127" s="150"/>
      <c r="U127" s="216">
        <f ca="1">IF(L127="l","",IF(D127+F127&gt;0,SUM(Z127:AA127),-1))</f>
        <v>-1</v>
      </c>
      <c r="V127" s="395"/>
      <c r="W127" s="107"/>
      <c r="Z127" s="114">
        <f>IF(D127&gt;0,0,TRUNC(F127*T127+Y127*X127))</f>
        <v>0</v>
      </c>
      <c r="AA127" t="b">
        <f>IF($D127=1,SUM(Z$13:Z125)-SUM(AA$13:AA125),IF($D127=2,$AA$6,IF($D127=3,TRUNC($AA$6,-3))))</f>
        <v>0</v>
      </c>
      <c r="AB127">
        <f ca="1">IF(OR(AC$8=0,L126="l",D127&gt;0,U127=-1),0,IF(L126="b",-U127,TRUNC(F126*T127)))</f>
        <v>0</v>
      </c>
      <c r="AC127" t="b">
        <f>IF($D127=1,SUM(AB$13:AB125)-SUM(AC$13:AC125),IF($D127=2,$AA$5,IF($D127=3,TRUNC($AA$5,-3))))</f>
        <v>0</v>
      </c>
    </row>
    <row r="128" spans="3:29" ht="15" customHeight="1" x14ac:dyDescent="0.15">
      <c r="C128" s="182"/>
      <c r="D128" s="210"/>
      <c r="E128" s="184"/>
      <c r="F128" s="225"/>
      <c r="G128" s="297" t="str">
        <f ca="1">IF(OR(AC$8=0,L128="b"),"",IF(L128="l",0,"("&amp;FIXED(-F128,K129,0)&amp;M128))</f>
        <v/>
      </c>
      <c r="H128" s="183"/>
      <c r="I128" s="185"/>
      <c r="L128" t="str">
        <f t="shared" ca="1" si="15"/>
        <v>b</v>
      </c>
      <c r="M128" t="str">
        <f>")"&amp;REPT(" ",2-K129)&amp;IF(K129=0," ","")</f>
        <v xml:space="preserve">)   </v>
      </c>
      <c r="O128" s="194"/>
      <c r="P128" s="207">
        <f>D128</f>
        <v>0</v>
      </c>
      <c r="Q128" s="207">
        <f t="shared" si="17"/>
        <v>0</v>
      </c>
      <c r="R128" s="300" t="str">
        <f t="shared" ca="1" si="16"/>
        <v/>
      </c>
      <c r="S128" s="304"/>
      <c r="T128" s="149"/>
      <c r="U128" s="206">
        <f ca="1">IF(OR(AC$8=0,SUM(Z129:AC129)=0),1,IF(L128="l","",SUM(AB129:AC129)))</f>
        <v>1</v>
      </c>
      <c r="V128" s="394"/>
      <c r="W128" s="50"/>
    </row>
    <row r="129" spans="3:29" ht="15" customHeight="1" x14ac:dyDescent="0.15">
      <c r="C129" s="186"/>
      <c r="D129" s="205"/>
      <c r="E129" s="188"/>
      <c r="F129" s="226"/>
      <c r="G129" s="296" t="str">
        <f ca="1">IF(L129="b","",IF(L129="l",0,FIXED(F129,K129,0)&amp;M129))</f>
        <v/>
      </c>
      <c r="H129" s="187"/>
      <c r="I129" s="189"/>
      <c r="K129" s="215"/>
      <c r="L129" t="str">
        <f t="shared" ca="1" si="15"/>
        <v>b</v>
      </c>
      <c r="M129" t="str">
        <f>REPT(" ",3-K129)&amp;IF(K129=0," ","")</f>
        <v xml:space="preserve">    </v>
      </c>
      <c r="O129" s="194"/>
      <c r="P129" s="208">
        <f>IF(ISNUMBER(D129),LOOKUP(D129,$AB$5:$AC$7),D129)</f>
        <v>0</v>
      </c>
      <c r="Q129" s="208">
        <f t="shared" si="17"/>
        <v>0</v>
      </c>
      <c r="R129" s="301" t="str">
        <f t="shared" ca="1" si="16"/>
        <v/>
      </c>
      <c r="S129" s="305">
        <f>H129</f>
        <v>0</v>
      </c>
      <c r="T129" s="150"/>
      <c r="U129" s="216">
        <f ca="1">IF(L129="l","",IF(D129+F129&gt;0,SUM(Z129:AA129),-1))</f>
        <v>-1</v>
      </c>
      <c r="V129" s="395"/>
      <c r="W129" s="107"/>
      <c r="Z129" s="114">
        <f>IF(D129&gt;0,0,TRUNC(F129*T129+Y129*X129))</f>
        <v>0</v>
      </c>
      <c r="AA129" t="b">
        <f>IF($D129=1,SUM(Z$13:Z127)-SUM(AA$13:AA127),IF($D129=2,$AA$6,IF($D129=3,TRUNC($AA$6,-3))))</f>
        <v>0</v>
      </c>
      <c r="AB129">
        <f ca="1">IF(OR(AC$8=0,L128="l",D129&gt;0,U129=-1),0,IF(L128="b",-U129,TRUNC(F128*T129)))</f>
        <v>0</v>
      </c>
      <c r="AC129" t="b">
        <f>IF($D129=1,SUM(AB$13:AB127)-SUM(AC$13:AC127),IF($D129=2,$AA$5,IF($D129=3,TRUNC($AA$5,-3))))</f>
        <v>0</v>
      </c>
    </row>
    <row r="130" spans="3:29" ht="15" customHeight="1" x14ac:dyDescent="0.15">
      <c r="C130" s="182"/>
      <c r="D130" s="210"/>
      <c r="E130" s="184"/>
      <c r="F130" s="225"/>
      <c r="G130" s="297" t="str">
        <f ca="1">IF(OR(AC$8=0,L130="b"),"",IF(L130="l",0,"("&amp;FIXED(-F130,K131,0)&amp;M130))</f>
        <v/>
      </c>
      <c r="H130" s="183"/>
      <c r="I130" s="185"/>
      <c r="L130" t="str">
        <f t="shared" ca="1" si="15"/>
        <v>b</v>
      </c>
      <c r="M130" t="str">
        <f>")"&amp;REPT(" ",2-K131)&amp;IF(K131=0," ","")</f>
        <v xml:space="preserve">)   </v>
      </c>
      <c r="O130" s="194"/>
      <c r="P130" s="207">
        <f>D130</f>
        <v>0</v>
      </c>
      <c r="Q130" s="207">
        <f t="shared" si="17"/>
        <v>0</v>
      </c>
      <c r="R130" s="300" t="str">
        <f t="shared" ca="1" si="16"/>
        <v/>
      </c>
      <c r="S130" s="304"/>
      <c r="T130" s="149"/>
      <c r="U130" s="206">
        <f ca="1">IF(OR(AC$8=0,SUM(Z131:AC131)=0),1,IF(L130="l","",SUM(AB131:AC131)))</f>
        <v>1</v>
      </c>
      <c r="V130" s="394"/>
      <c r="W130" s="50"/>
    </row>
    <row r="131" spans="3:29" ht="15" customHeight="1" x14ac:dyDescent="0.15">
      <c r="C131" s="186"/>
      <c r="D131" s="205"/>
      <c r="E131" s="188"/>
      <c r="F131" s="226"/>
      <c r="G131" s="296" t="str">
        <f ca="1">IF(L131="b","",IF(L131="l",0,FIXED(F131,K131,0)&amp;M131))</f>
        <v/>
      </c>
      <c r="H131" s="187"/>
      <c r="I131" s="189"/>
      <c r="K131" s="215"/>
      <c r="L131" t="str">
        <f t="shared" ca="1" si="15"/>
        <v>b</v>
      </c>
      <c r="M131" t="str">
        <f>REPT(" ",3-K131)&amp;IF(K131=0," ","")</f>
        <v xml:space="preserve">    </v>
      </c>
      <c r="O131" s="194"/>
      <c r="P131" s="208">
        <f>IF(ISNUMBER(D131),LOOKUP(D131,$AB$5:$AC$7),D131)</f>
        <v>0</v>
      </c>
      <c r="Q131" s="208">
        <f t="shared" si="17"/>
        <v>0</v>
      </c>
      <c r="R131" s="301" t="str">
        <f t="shared" ca="1" si="16"/>
        <v/>
      </c>
      <c r="S131" s="305">
        <f>H131</f>
        <v>0</v>
      </c>
      <c r="T131" s="150"/>
      <c r="U131" s="216">
        <f ca="1">IF(L131="l","",IF(D131+F131&gt;0,SUM(Z131:AA131),-1))</f>
        <v>-1</v>
      </c>
      <c r="V131" s="395"/>
      <c r="W131" s="107"/>
      <c r="Z131" s="114">
        <f>IF(D131&gt;0,0,TRUNC(F131*T131+Y131*X131))</f>
        <v>0</v>
      </c>
      <c r="AA131" t="b">
        <f>IF($D131=1,SUM(Z$13:Z129)-SUM(AA$13:AA129),IF($D131=2,$AA$6,IF($D131=3,TRUNC($AA$6,-3))))</f>
        <v>0</v>
      </c>
      <c r="AB131">
        <f ca="1">IF(OR(AC$8=0,L130="l",D131&gt;0,U131=-1),0,IF(L130="b",-U131,TRUNC(F130*T131)))</f>
        <v>0</v>
      </c>
      <c r="AC131" t="b">
        <f>IF($D131=1,SUM(AB$13:AB129)-SUM(AC$13:AC129),IF($D131=2,$AA$5,IF($D131=3,TRUNC($AA$5,-3))))</f>
        <v>0</v>
      </c>
    </row>
    <row r="132" spans="3:29" ht="15" customHeight="1" x14ac:dyDescent="0.15">
      <c r="C132" s="182"/>
      <c r="D132" s="210"/>
      <c r="E132" s="184"/>
      <c r="F132" s="225"/>
      <c r="G132" s="297" t="str">
        <f ca="1">IF(OR(AC$8=0,L132="b"),"",IF(L132="l",0,"("&amp;FIXED(-F132,K133,0)&amp;M132))</f>
        <v/>
      </c>
      <c r="H132" s="183"/>
      <c r="I132" s="185"/>
      <c r="L132" t="str">
        <f t="shared" ca="1" si="15"/>
        <v>b</v>
      </c>
      <c r="M132" t="str">
        <f>")"&amp;REPT(" ",2-K133)&amp;IF(K133=0," ","")</f>
        <v xml:space="preserve">)   </v>
      </c>
      <c r="O132" s="194"/>
      <c r="P132" s="207">
        <f>D132</f>
        <v>0</v>
      </c>
      <c r="Q132" s="207">
        <f t="shared" si="17"/>
        <v>0</v>
      </c>
      <c r="R132" s="300" t="str">
        <f t="shared" ca="1" si="16"/>
        <v/>
      </c>
      <c r="S132" s="304"/>
      <c r="T132" s="149"/>
      <c r="U132" s="206">
        <f ca="1">IF(OR(AC$8=0,SUM(Z133:AC133)=0),1,IF(L132="l","",SUM(AB133:AC133)))</f>
        <v>1</v>
      </c>
      <c r="V132" s="394"/>
      <c r="W132" s="50"/>
    </row>
    <row r="133" spans="3:29" ht="15" customHeight="1" x14ac:dyDescent="0.15">
      <c r="C133" s="186"/>
      <c r="D133" s="205"/>
      <c r="E133" s="188"/>
      <c r="F133" s="226"/>
      <c r="G133" s="296" t="str">
        <f ca="1">IF(L133="b","",IF(L133="l",0,FIXED(F133,K133,0)&amp;M133))</f>
        <v/>
      </c>
      <c r="H133" s="187"/>
      <c r="I133" s="189"/>
      <c r="K133" s="215"/>
      <c r="L133" t="str">
        <f t="shared" ca="1" si="15"/>
        <v>b</v>
      </c>
      <c r="M133" t="str">
        <f>REPT(" ",3-K133)&amp;IF(K133=0," ","")</f>
        <v xml:space="preserve">    </v>
      </c>
      <c r="O133" s="194"/>
      <c r="P133" s="208">
        <f>IF(ISNUMBER(D133),LOOKUP(D133,$AB$5:$AC$7),D133)</f>
        <v>0</v>
      </c>
      <c r="Q133" s="208">
        <f t="shared" si="17"/>
        <v>0</v>
      </c>
      <c r="R133" s="301" t="str">
        <f t="shared" ca="1" si="16"/>
        <v/>
      </c>
      <c r="S133" s="305">
        <f>H133</f>
        <v>0</v>
      </c>
      <c r="T133" s="150"/>
      <c r="U133" s="216">
        <f ca="1">IF(L133="l","",IF(D133+F133&gt;0,SUM(Z133:AA133),-1))</f>
        <v>-1</v>
      </c>
      <c r="V133" s="395"/>
      <c r="W133" s="107"/>
      <c r="Z133" s="114">
        <f>IF(D133&gt;0,0,TRUNC(F133*T133+Y133*X133))</f>
        <v>0</v>
      </c>
      <c r="AA133" t="b">
        <f>IF($D133=1,SUM(Z$13:Z131)-SUM(AA$13:AA131),IF($D133=2,$AA$6,IF($D133=3,TRUNC($AA$6,-3))))</f>
        <v>0</v>
      </c>
      <c r="AB133">
        <f ca="1">IF(OR(AC$8=0,L132="l",D133&gt;0,U133=-1),0,IF(L132="b",-U133,TRUNC(F132*T133)))</f>
        <v>0</v>
      </c>
      <c r="AC133" t="b">
        <f>IF($D133=1,SUM(AB$13:AB131)-SUM(AC$13:AC131),IF($D133=2,$AA$5,IF($D133=3,TRUNC($AA$5,-3))))</f>
        <v>0</v>
      </c>
    </row>
    <row r="134" spans="3:29" ht="15" customHeight="1" x14ac:dyDescent="0.15">
      <c r="C134" s="182"/>
      <c r="D134" s="210"/>
      <c r="E134" s="184"/>
      <c r="F134" s="225"/>
      <c r="G134" s="297" t="str">
        <f ca="1">IF(OR(AC$8=0,L134="b"),"",IF(L134="l",0,"("&amp;FIXED(-F134,K135,0)&amp;M134))</f>
        <v/>
      </c>
      <c r="H134" s="183"/>
      <c r="I134" s="185"/>
      <c r="L134" t="str">
        <f t="shared" ca="1" si="15"/>
        <v>b</v>
      </c>
      <c r="M134" t="str">
        <f>")"&amp;REPT(" ",2-K135)&amp;IF(K135=0," ","")</f>
        <v xml:space="preserve">)   </v>
      </c>
      <c r="O134" s="194"/>
      <c r="P134" s="207">
        <f>D134</f>
        <v>0</v>
      </c>
      <c r="Q134" s="207">
        <f t="shared" si="17"/>
        <v>0</v>
      </c>
      <c r="R134" s="300" t="str">
        <f t="shared" ca="1" si="16"/>
        <v/>
      </c>
      <c r="S134" s="304"/>
      <c r="T134" s="149"/>
      <c r="U134" s="206">
        <f ca="1">IF(OR(AC$8=0,SUM(Z135:AC135)=0),1,IF(L134="l","",SUM(AB135:AC135)))</f>
        <v>1</v>
      </c>
      <c r="V134" s="394"/>
      <c r="W134" s="50"/>
    </row>
    <row r="135" spans="3:29" ht="15" customHeight="1" x14ac:dyDescent="0.15">
      <c r="C135" s="186"/>
      <c r="D135" s="205"/>
      <c r="E135" s="188"/>
      <c r="F135" s="226"/>
      <c r="G135" s="296" t="str">
        <f ca="1">IF(L135="b","",IF(L135="l",0,FIXED(F135,K135,0)&amp;M135))</f>
        <v/>
      </c>
      <c r="H135" s="187"/>
      <c r="I135" s="189"/>
      <c r="K135" s="215"/>
      <c r="L135" t="str">
        <f t="shared" ca="1" si="15"/>
        <v>b</v>
      </c>
      <c r="M135" t="str">
        <f>REPT(" ",3-K135)&amp;IF(K135=0," ","")</f>
        <v xml:space="preserve">    </v>
      </c>
      <c r="O135" s="194"/>
      <c r="P135" s="208">
        <f>IF(ISNUMBER(D135),LOOKUP(D135,$AB$5:$AC$7),D135)</f>
        <v>0</v>
      </c>
      <c r="Q135" s="208">
        <f t="shared" si="17"/>
        <v>0</v>
      </c>
      <c r="R135" s="301" t="str">
        <f t="shared" ca="1" si="16"/>
        <v/>
      </c>
      <c r="S135" s="305">
        <f>H135</f>
        <v>0</v>
      </c>
      <c r="T135" s="150"/>
      <c r="U135" s="216">
        <f ca="1">IF(L135="l","",IF(D135+F135&gt;0,SUM(Z135:AA135),-1))</f>
        <v>-1</v>
      </c>
      <c r="V135" s="395"/>
      <c r="W135" s="107"/>
      <c r="Z135" s="114">
        <f>IF(D135&gt;0,0,TRUNC(F135*T135+Y135*X135))</f>
        <v>0</v>
      </c>
      <c r="AA135" t="b">
        <f>IF($D135=1,SUM(Z$13:Z133)-SUM(AA$13:AA133),IF($D135=2,$AA$6,IF($D135=3,TRUNC($AA$6,-3))))</f>
        <v>0</v>
      </c>
      <c r="AB135">
        <f ca="1">IF(OR(AC$8=0,L134="l",D135&gt;0,U135=-1),0,IF(L134="b",-U135,TRUNC(F134*T135)))</f>
        <v>0</v>
      </c>
      <c r="AC135" t="b">
        <f>IF($D135=1,SUM(AB$13:AB133)-SUM(AC$13:AC133),IF($D135=2,$AA$5,IF($D135=3,TRUNC($AA$5,-3))))</f>
        <v>0</v>
      </c>
    </row>
    <row r="136" spans="3:29" ht="15" customHeight="1" x14ac:dyDescent="0.15">
      <c r="C136" s="182"/>
      <c r="D136" s="210"/>
      <c r="E136" s="184"/>
      <c r="F136" s="225"/>
      <c r="G136" s="297" t="str">
        <f ca="1">IF(OR(AC$8=0,L136="b"),"",IF(L136="l",0,"("&amp;FIXED(-F136,K137,0)&amp;M136))</f>
        <v/>
      </c>
      <c r="H136" s="183"/>
      <c r="I136" s="185"/>
      <c r="L136" t="str">
        <f t="shared" ca="1" si="15"/>
        <v>b</v>
      </c>
      <c r="M136" t="str">
        <f>")"&amp;REPT(" ",2-K137)&amp;IF(K137=0," ","")</f>
        <v xml:space="preserve">)   </v>
      </c>
      <c r="O136" s="194"/>
      <c r="P136" s="207">
        <f>D136</f>
        <v>0</v>
      </c>
      <c r="Q136" s="207">
        <f t="shared" si="17"/>
        <v>0</v>
      </c>
      <c r="R136" s="300" t="str">
        <f t="shared" ca="1" si="16"/>
        <v/>
      </c>
      <c r="S136" s="304"/>
      <c r="T136" s="149"/>
      <c r="U136" s="206">
        <f ca="1">IF(OR(AC$8=0,SUM(Z137:AC137)=0),1,IF(L136="l","",SUM(AB137:AC137)))</f>
        <v>1</v>
      </c>
      <c r="V136" s="394"/>
      <c r="W136" s="50"/>
    </row>
    <row r="137" spans="3:29" ht="15" customHeight="1" x14ac:dyDescent="0.15">
      <c r="C137" s="186"/>
      <c r="D137" s="205"/>
      <c r="E137" s="188"/>
      <c r="F137" s="226"/>
      <c r="G137" s="296" t="str">
        <f ca="1">IF(L137="b","",IF(L137="l",0,FIXED(F137,K137,0)&amp;M137))</f>
        <v/>
      </c>
      <c r="H137" s="187"/>
      <c r="I137" s="189"/>
      <c r="K137" s="215"/>
      <c r="L137" t="str">
        <f t="shared" ca="1" si="15"/>
        <v>b</v>
      </c>
      <c r="M137" t="str">
        <f>REPT(" ",3-K137)&amp;IF(K137=0," ","")</f>
        <v xml:space="preserve">    </v>
      </c>
      <c r="O137" s="194"/>
      <c r="P137" s="208">
        <f>IF(ISNUMBER(D137),LOOKUP(D137,$AB$5:$AC$7),D137)</f>
        <v>0</v>
      </c>
      <c r="Q137" s="208">
        <f t="shared" si="17"/>
        <v>0</v>
      </c>
      <c r="R137" s="301" t="str">
        <f t="shared" ca="1" si="16"/>
        <v/>
      </c>
      <c r="S137" s="305">
        <f>H137</f>
        <v>0</v>
      </c>
      <c r="T137" s="150"/>
      <c r="U137" s="216">
        <f ca="1">IF(L137="l","",IF(D137+F137&gt;0,SUM(Z137:AA137),-1))</f>
        <v>-1</v>
      </c>
      <c r="V137" s="395"/>
      <c r="W137" s="107"/>
      <c r="Z137" s="114">
        <f>IF(D137&gt;0,0,TRUNC(F137*T137+Y137*X137))</f>
        <v>0</v>
      </c>
      <c r="AA137" t="b">
        <f>IF($D137=1,SUM(Z$13:Z135)-SUM(AA$13:AA135),IF($D137=2,$AA$6,IF($D137=3,TRUNC($AA$6,-3))))</f>
        <v>0</v>
      </c>
      <c r="AB137">
        <f ca="1">IF(OR(AC$8=0,L136="l",D137&gt;0,U137=-1),0,IF(L136="b",-U137,TRUNC(F136*T137)))</f>
        <v>0</v>
      </c>
      <c r="AC137" t="b">
        <f>IF($D137=1,SUM(AB$13:AB135)-SUM(AC$13:AC135),IF($D137=2,$AA$5,IF($D137=3,TRUNC($AA$5,-3))))</f>
        <v>0</v>
      </c>
    </row>
    <row r="138" spans="3:29" ht="15" customHeight="1" x14ac:dyDescent="0.15">
      <c r="C138" s="182"/>
      <c r="D138" s="210"/>
      <c r="E138" s="184"/>
      <c r="F138" s="225"/>
      <c r="G138" s="297" t="str">
        <f ca="1">IF(OR(AC$8=0,L138="b"),"",IF(L138="l",0,"("&amp;FIXED(-F138,K139,0)&amp;M138))</f>
        <v/>
      </c>
      <c r="H138" s="183"/>
      <c r="I138" s="185"/>
      <c r="L138" t="str">
        <f t="shared" ca="1" si="15"/>
        <v>b</v>
      </c>
      <c r="M138" t="str">
        <f>")"&amp;REPT(" ",2-K139)&amp;IF(K139=0," ","")</f>
        <v xml:space="preserve">)   </v>
      </c>
      <c r="O138" s="182"/>
      <c r="P138" s="207">
        <f>D138</f>
        <v>0</v>
      </c>
      <c r="Q138" s="207">
        <f t="shared" si="17"/>
        <v>0</v>
      </c>
      <c r="R138" s="300" t="str">
        <f t="shared" ca="1" si="16"/>
        <v/>
      </c>
      <c r="S138" s="304"/>
      <c r="T138" s="149"/>
      <c r="U138" s="206">
        <f ca="1">IF(OR(AC$8=0,SUM(Z139:AC139)=0),1,IF(L138="l","",SUM(AB139:AC139)))</f>
        <v>1</v>
      </c>
      <c r="V138" s="394"/>
      <c r="W138" s="50"/>
    </row>
    <row r="139" spans="3:29" ht="15" customHeight="1" x14ac:dyDescent="0.15">
      <c r="C139" s="186"/>
      <c r="D139" s="205"/>
      <c r="E139" s="188"/>
      <c r="F139" s="226"/>
      <c r="G139" s="296" t="str">
        <f ca="1">IF(L139="b","",IF(L139="l",0,FIXED(F139,K139,0)&amp;M139))</f>
        <v/>
      </c>
      <c r="H139" s="187"/>
      <c r="I139" s="189"/>
      <c r="K139" s="215"/>
      <c r="L139" t="str">
        <f t="shared" ca="1" si="15"/>
        <v>b</v>
      </c>
      <c r="M139" t="str">
        <f>REPT(" ",3-K139)&amp;IF(K139=0," ","")</f>
        <v xml:space="preserve">    </v>
      </c>
      <c r="O139" s="182"/>
      <c r="P139" s="208">
        <f>IF(ISNUMBER(D139),LOOKUP(D139,$AB$5:$AC$7),D139)</f>
        <v>0</v>
      </c>
      <c r="Q139" s="208">
        <f t="shared" si="17"/>
        <v>0</v>
      </c>
      <c r="R139" s="301" t="str">
        <f t="shared" ca="1" si="16"/>
        <v/>
      </c>
      <c r="S139" s="305">
        <f>H139</f>
        <v>0</v>
      </c>
      <c r="T139" s="150"/>
      <c r="U139" s="216">
        <f ca="1">IF(L139="l","",IF(D139+F139&gt;0,SUM(Z139:AA139),-1))</f>
        <v>-1</v>
      </c>
      <c r="V139" s="395"/>
      <c r="W139" s="107"/>
      <c r="Z139" s="114">
        <f>IF(D139&gt;0,0,TRUNC(F139*T139+Y139*X139))</f>
        <v>0</v>
      </c>
      <c r="AA139" t="b">
        <f>IF($D139=1,SUM(Z$13:Z137)-SUM(AA$13:AA137),IF($D139=2,$AA$6,IF($D139=3,TRUNC($AA$6,-3))))</f>
        <v>0</v>
      </c>
      <c r="AB139">
        <f ca="1">IF(OR(AC$8=0,L138="l",D139&gt;0,U139=-1),0,IF(L138="b",-U139,TRUNC(F138*T139)))</f>
        <v>0</v>
      </c>
      <c r="AC139" t="b">
        <f>IF($D139=1,SUM(AB$13:AB137)-SUM(AC$13:AC137),IF($D139=2,$AA$5,IF($D139=3,TRUNC($AA$5,-3))))</f>
        <v>0</v>
      </c>
    </row>
    <row r="140" spans="3:29" ht="15" customHeight="1" x14ac:dyDescent="0.15">
      <c r="C140" s="182"/>
      <c r="D140" s="210"/>
      <c r="E140" s="184"/>
      <c r="F140" s="227"/>
      <c r="G140" s="297" t="str">
        <f ca="1">IF(OR(AC$8=0,L140="b"),"",IF(L140="l",0,"("&amp;FIXED(-F140,K141,0)&amp;M140))</f>
        <v/>
      </c>
      <c r="H140" s="183"/>
      <c r="I140" s="185"/>
      <c r="L140" t="str">
        <f t="shared" ca="1" si="15"/>
        <v>b</v>
      </c>
      <c r="M140" t="str">
        <f>")"&amp;REPT(" ",2-K141)&amp;IF(K141=0," ","")</f>
        <v xml:space="preserve">)   </v>
      </c>
      <c r="O140" s="182"/>
      <c r="P140" s="207">
        <f>D140</f>
        <v>0</v>
      </c>
      <c r="Q140" s="207">
        <f t="shared" si="17"/>
        <v>0</v>
      </c>
      <c r="R140" s="300" t="str">
        <f t="shared" ca="1" si="16"/>
        <v/>
      </c>
      <c r="S140" s="304"/>
      <c r="T140" s="149"/>
      <c r="U140" s="206">
        <f ca="1">IF(OR(AC$8=0,SUM(Z141:AC141)=0),1,IF(L140="l","",SUM(AB141:AC141)))</f>
        <v>1</v>
      </c>
      <c r="V140" s="394"/>
      <c r="W140" s="50"/>
    </row>
    <row r="141" spans="3:29" ht="15" customHeight="1" x14ac:dyDescent="0.15">
      <c r="C141" s="186"/>
      <c r="D141" s="205"/>
      <c r="E141" s="188"/>
      <c r="F141" s="226"/>
      <c r="G141" s="296" t="str">
        <f ca="1">IF(L141="b","",IF(L141="l",0,FIXED(F141,K141,0)&amp;M141))</f>
        <v/>
      </c>
      <c r="H141" s="187"/>
      <c r="I141" s="189"/>
      <c r="K141" s="215"/>
      <c r="L141" t="str">
        <f t="shared" ca="1" si="15"/>
        <v>b</v>
      </c>
      <c r="M141" t="str">
        <f>REPT(" ",3-K141)&amp;IF(K141=0," ","")</f>
        <v xml:space="preserve">    </v>
      </c>
      <c r="O141" s="182"/>
      <c r="P141" s="208">
        <f>IF(ISNUMBER(D141),LOOKUP(D141,$AB$5:$AC$7),D141)</f>
        <v>0</v>
      </c>
      <c r="Q141" s="208">
        <f t="shared" si="17"/>
        <v>0</v>
      </c>
      <c r="R141" s="301" t="str">
        <f t="shared" ca="1" si="16"/>
        <v/>
      </c>
      <c r="S141" s="305">
        <f>H141</f>
        <v>0</v>
      </c>
      <c r="T141" s="150"/>
      <c r="U141" s="216">
        <f ca="1">IF(L141="l","",IF(D141+F141&gt;0,SUM(Z141:AA141),-1))</f>
        <v>-1</v>
      </c>
      <c r="V141" s="395"/>
      <c r="W141" s="107"/>
      <c r="Z141" s="114">
        <f>IF(D141&gt;0,0,TRUNC(F141*T141+Y141*X141))</f>
        <v>0</v>
      </c>
      <c r="AA141" t="b">
        <f>IF($D141=1,SUM(Z$13:Z139)-SUM(AA$13:AA139),IF($D141=2,$AA$6,IF($D141=3,TRUNC($AA$6,-3))))</f>
        <v>0</v>
      </c>
      <c r="AB141">
        <f ca="1">IF(OR(AC$8=0,L140="l",D141&gt;0,U141=-1),0,IF(L140="b",-U141,TRUNC(F140*T141)))</f>
        <v>0</v>
      </c>
      <c r="AC141" t="b">
        <f>IF($D141=1,SUM(AB$13:AB139)-SUM(AC$13:AC139),IF($D141=2,$AA$5,IF($D141=3,TRUNC($AA$5,-3))))</f>
        <v>0</v>
      </c>
    </row>
    <row r="142" spans="3:29" ht="15" customHeight="1" x14ac:dyDescent="0.15">
      <c r="C142" s="182"/>
      <c r="D142" s="210"/>
      <c r="E142" s="184"/>
      <c r="F142" s="227"/>
      <c r="G142" s="297" t="str">
        <f ca="1">IF(OR(AC$8=0,L142="b"),"",IF(L142="l",0,"("&amp;FIXED(-F142,K143,0)&amp;M142))</f>
        <v/>
      </c>
      <c r="H142" s="183"/>
      <c r="I142" s="185"/>
      <c r="L142" t="str">
        <f t="shared" ca="1" si="15"/>
        <v>b</v>
      </c>
      <c r="M142" t="str">
        <f>")"&amp;REPT(" ",2-K143)&amp;IF(K143=0," ","")</f>
        <v xml:space="preserve">)   </v>
      </c>
      <c r="O142" s="182"/>
      <c r="P142" s="207">
        <f>D142</f>
        <v>0</v>
      </c>
      <c r="Q142" s="207">
        <f t="shared" si="17"/>
        <v>0</v>
      </c>
      <c r="R142" s="300" t="str">
        <f t="shared" ca="1" si="16"/>
        <v/>
      </c>
      <c r="S142" s="304"/>
      <c r="T142" s="149"/>
      <c r="U142" s="206">
        <f ca="1">IF(OR(AC$8=0,SUM(Z143:AC143)=0),1,IF(L142="l","",SUM(AB143:AC143)))</f>
        <v>1</v>
      </c>
      <c r="V142" s="394"/>
      <c r="W142" s="50"/>
    </row>
    <row r="143" spans="3:29" ht="15" customHeight="1" thickBot="1" x14ac:dyDescent="0.2">
      <c r="C143" s="190"/>
      <c r="D143" s="211"/>
      <c r="E143" s="192"/>
      <c r="F143" s="228"/>
      <c r="G143" s="299" t="str">
        <f ca="1">IF(L143="b","",IF(L143="l",0,FIXED(F143,K143,0)&amp;M143))</f>
        <v/>
      </c>
      <c r="H143" s="191"/>
      <c r="I143" s="193"/>
      <c r="K143" s="215"/>
      <c r="L143" t="str">
        <f t="shared" ca="1" si="15"/>
        <v>b</v>
      </c>
      <c r="M143" t="str">
        <f>REPT(" ",3-K143)&amp;IF(K143=0," ","")</f>
        <v xml:space="preserve">    </v>
      </c>
      <c r="O143" s="190"/>
      <c r="P143" s="209">
        <f>IF(ISNUMBER(D143),LOOKUP(D143,$AB$5:$AC$7),D143)</f>
        <v>0</v>
      </c>
      <c r="Q143" s="209">
        <f t="shared" si="17"/>
        <v>0</v>
      </c>
      <c r="R143" s="302" t="str">
        <f t="shared" ca="1" si="16"/>
        <v/>
      </c>
      <c r="S143" s="306">
        <f>H143</f>
        <v>0</v>
      </c>
      <c r="T143" s="151"/>
      <c r="U143" s="217">
        <f ca="1">IF(L143="l","",IF(D143+F143&gt;0,SUM(Z143:AA143),-1))</f>
        <v>-1</v>
      </c>
      <c r="V143" s="396"/>
      <c r="W143" s="55"/>
      <c r="Z143" s="114">
        <f>IF(D143&gt;0,0,TRUNC(F143*T143+Y143*X143))</f>
        <v>0</v>
      </c>
      <c r="AA143" t="b">
        <f>IF($D143=1,SUM(Z$13:Z141)-SUM(AA$13:AA141),IF($D143=2,$AA$6,IF($D143=3,TRUNC($AA$6,-3))))</f>
        <v>0</v>
      </c>
      <c r="AB143">
        <f ca="1">IF(OR(AC$8=0,L142="l",D143&gt;0,U143=-1),0,IF(L142="b",-U143,TRUNC(F142*T143)))</f>
        <v>0</v>
      </c>
      <c r="AC143" t="b">
        <f>IF($D143=1,SUM(AB$13:AB141)-SUM(AC$13:AC141),IF($D143=2,$AA$5,IF($D143=3,TRUNC($AA$5,-3))))</f>
        <v>0</v>
      </c>
    </row>
  </sheetData>
  <mergeCells count="4">
    <mergeCell ref="V9:V11"/>
    <mergeCell ref="O9:O11"/>
    <mergeCell ref="O75:O77"/>
    <mergeCell ref="V75:V77"/>
  </mergeCells>
  <phoneticPr fontId="12"/>
  <conditionalFormatting sqref="O131 O133 O97 O109 O111 O99 O101 O103 O105 O137 O113 O115 O117 O119 O121 O123 O107 O135 O78:O81 O125 O127 O129 O73 O71 O83 O85 O87 O89 O91 O93 O95 O41 O27 O23 O55 O31 O25 O39 O37 O33 O35 O29 O67:O69 O53 O59:O65 O51 O43 O47 O49 O57 O45 O19 O15 O17">
    <cfRule type="expression" dxfId="23" priority="2" stopIfTrue="1">
      <formula>D15=1</formula>
    </cfRule>
  </conditionalFormatting>
  <conditionalFormatting sqref="O21">
    <cfRule type="expression" dxfId="22" priority="1" stopIfTrue="1">
      <formula>D21=1</formula>
    </cfRule>
  </conditionalFormatting>
  <dataValidations count="1">
    <dataValidation imeMode="off" showInputMessage="1" showErrorMessage="1" promptTitle="警告" prompt="計算式が設定されています_x000a_入力を続けますか?" sqref="G78:G143 G12:G73" xr:uid="{00000000-0002-0000-0F00-000000000000}"/>
  </dataValidations>
  <pageMargins left="0.70866141732283472" right="0.19685039370078741" top="0.59055118110236227" bottom="0.59055118110236227" header="0" footer="0"/>
  <pageSetup paperSize="9" scale="80" orientation="portrait" blackAndWhite="1"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ransitionEvaluation="1">
    <tabColor indexed="39"/>
  </sheetPr>
  <dimension ref="A1:AD143"/>
  <sheetViews>
    <sheetView view="pageBreakPreview" topLeftCell="J1" zoomScaleNormal="90" zoomScaleSheetLayoutView="100" workbookViewId="0">
      <selection activeCell="B1" sqref="B1"/>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5.625" customWidth="1"/>
    <col min="18" max="18" width="12.125" customWidth="1"/>
    <col min="19" max="19" width="4.625" customWidth="1"/>
    <col min="20" max="20" width="10.625" customWidth="1"/>
    <col min="21" max="21" width="15.625" customWidth="1"/>
    <col min="22" max="22" width="8.625" customWidth="1"/>
    <col min="23" max="23" width="16.625" customWidth="1"/>
    <col min="26" max="26" width="9.625" style="114" customWidth="1"/>
    <col min="27" max="29" width="9.625" customWidth="1"/>
  </cols>
  <sheetData>
    <row r="1" spans="1:30" x14ac:dyDescent="0.15">
      <c r="D1" t="s">
        <v>307</v>
      </c>
      <c r="F1" t="s">
        <v>308</v>
      </c>
    </row>
    <row r="2" spans="1:30" x14ac:dyDescent="0.15">
      <c r="D2" t="s">
        <v>272</v>
      </c>
      <c r="F2" s="224" t="s">
        <v>267</v>
      </c>
    </row>
    <row r="3" spans="1:30" x14ac:dyDescent="0.15">
      <c r="D3" t="s">
        <v>274</v>
      </c>
      <c r="F3" s="224" t="s">
        <v>271</v>
      </c>
    </row>
    <row r="4" spans="1:30" ht="14.25" thickBot="1" x14ac:dyDescent="0.2">
      <c r="C4" t="s">
        <v>214</v>
      </c>
      <c r="D4" t="s">
        <v>273</v>
      </c>
      <c r="F4" s="224" t="s">
        <v>268</v>
      </c>
      <c r="O4" t="s">
        <v>214</v>
      </c>
      <c r="AC4" t="s">
        <v>89</v>
      </c>
    </row>
    <row r="5" spans="1:30" x14ac:dyDescent="0.15">
      <c r="B5" s="100" t="s">
        <v>83</v>
      </c>
      <c r="N5" t="s">
        <v>215</v>
      </c>
      <c r="O5" s="16"/>
      <c r="P5" s="17"/>
      <c r="Q5" s="17"/>
      <c r="R5" s="18"/>
      <c r="S5" s="17"/>
      <c r="T5" s="18"/>
      <c r="U5" s="18"/>
      <c r="V5" s="18"/>
      <c r="W5" s="19"/>
      <c r="Z5" s="100" t="s">
        <v>216</v>
      </c>
      <c r="AA5">
        <f ca="1">SUM(INDIRECT(AD$6))</f>
        <v>0</v>
      </c>
      <c r="AB5">
        <v>1</v>
      </c>
      <c r="AC5" t="s">
        <v>219</v>
      </c>
      <c r="AD5" t="s">
        <v>217</v>
      </c>
    </row>
    <row r="6" spans="1:30" ht="21" customHeight="1" x14ac:dyDescent="0.2">
      <c r="N6" s="284"/>
      <c r="O6" s="486" t="s">
        <v>386</v>
      </c>
      <c r="P6" s="25"/>
      <c r="Q6" s="25"/>
      <c r="R6" s="25"/>
      <c r="S6" s="25"/>
      <c r="T6" s="25"/>
      <c r="U6" s="25"/>
      <c r="V6" s="25"/>
      <c r="W6" s="26"/>
      <c r="Z6" s="100" t="s">
        <v>218</v>
      </c>
      <c r="AA6">
        <f ca="1">SUM(INDIRECT(AD$7))</f>
        <v>43693</v>
      </c>
      <c r="AB6">
        <v>2</v>
      </c>
      <c r="AC6" t="s">
        <v>104</v>
      </c>
      <c r="AD6" t="str">
        <f>"AB10..AB"&amp;FIXED(AA7,0,TRUE)</f>
        <v>AB10..AB73</v>
      </c>
    </row>
    <row r="7" spans="1:30" ht="18.75" x14ac:dyDescent="0.2">
      <c r="C7" s="485" t="s">
        <v>385</v>
      </c>
      <c r="D7" s="101"/>
      <c r="E7" s="101"/>
      <c r="F7" s="101"/>
      <c r="G7" s="101"/>
      <c r="H7" s="101"/>
      <c r="I7" s="101"/>
      <c r="N7" s="285"/>
      <c r="O7" s="283"/>
      <c r="P7" s="20"/>
      <c r="Q7" s="458" t="str">
        <f ca="1">IF(OR(AC8=0,TRUNC(AA5,-3)+TRUNC(AA6,-3)=0),"",TRUNC(AA5,-3))</f>
        <v/>
      </c>
      <c r="R7" s="21"/>
      <c r="S7" s="20"/>
      <c r="T7" s="21"/>
      <c r="U7" s="21"/>
      <c r="V7" s="21"/>
      <c r="W7" s="104"/>
      <c r="Z7" s="100" t="s">
        <v>221</v>
      </c>
      <c r="AA7" s="410">
        <v>73</v>
      </c>
      <c r="AB7">
        <v>3</v>
      </c>
      <c r="AC7" t="s">
        <v>230</v>
      </c>
      <c r="AD7" t="str">
        <f>"Z10..Z"&amp;FIXED(AA7,0,TRUE)</f>
        <v>Z10..Z73</v>
      </c>
    </row>
    <row r="8" spans="1:30" ht="18.75" customHeight="1" thickBot="1" x14ac:dyDescent="0.25">
      <c r="A8" t="b">
        <f>SUM(F13:F73)&gt;0</f>
        <v>1</v>
      </c>
      <c r="B8">
        <f>SUM(A8:A143)</f>
        <v>1</v>
      </c>
      <c r="I8" s="111" t="str">
        <f>"( "&amp;FIXED($A8,0)&amp;" ／ "&amp;FIXED($B$8,0)&amp;" )"</f>
        <v>( 1 ／ 1 )</v>
      </c>
      <c r="N8" s="285"/>
      <c r="O8" s="283"/>
      <c r="P8" s="20"/>
      <c r="Q8" s="459">
        <f ca="1">TRUNC(AA6,-3)</f>
        <v>43000</v>
      </c>
      <c r="R8" s="21"/>
      <c r="S8" s="20"/>
      <c r="T8" s="21"/>
      <c r="U8" s="21"/>
      <c r="V8" s="21"/>
      <c r="W8" s="112" t="str">
        <f>"( "&amp;FIXED($A8,0)&amp;" ／ "&amp;FIXED($B$8,0)&amp;" )"</f>
        <v>( 1 ／ 1 )</v>
      </c>
      <c r="AC8">
        <f>鏡!H2-1</f>
        <v>0</v>
      </c>
      <c r="AD8" t="str">
        <f>"A5..A"&amp;FIXED(AA7,0,TRUE)</f>
        <v>A5..A73</v>
      </c>
    </row>
    <row r="9" spans="1:30" ht="13.5" customHeight="1" x14ac:dyDescent="0.15">
      <c r="C9" s="16"/>
      <c r="D9" s="102"/>
      <c r="E9" s="102"/>
      <c r="F9" s="18"/>
      <c r="G9" s="102"/>
      <c r="H9" s="102"/>
      <c r="I9" s="48"/>
      <c r="O9" s="756" t="s">
        <v>258</v>
      </c>
      <c r="P9" s="4"/>
      <c r="Q9" s="4"/>
      <c r="R9" s="5"/>
      <c r="S9" s="4"/>
      <c r="T9" s="14" t="s">
        <v>88</v>
      </c>
      <c r="U9" s="15"/>
      <c r="V9" s="755" t="s">
        <v>257</v>
      </c>
      <c r="W9" s="105"/>
    </row>
    <row r="10" spans="1:30"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Z10" t="str">
        <f>IF(AC8=0,"当初","出来高")</f>
        <v>当初</v>
      </c>
      <c r="AB10" t="s">
        <v>216</v>
      </c>
    </row>
    <row r="11" spans="1:30" ht="14.25" thickBot="1" x14ac:dyDescent="0.2">
      <c r="C11" s="71"/>
      <c r="D11" s="40"/>
      <c r="E11" s="40"/>
      <c r="F11" s="36"/>
      <c r="G11" s="40"/>
      <c r="H11" s="40"/>
      <c r="I11" s="52"/>
      <c r="K11" s="1" t="s">
        <v>259</v>
      </c>
      <c r="O11" s="758"/>
      <c r="P11" s="39"/>
      <c r="Q11" s="39"/>
      <c r="R11" s="40"/>
      <c r="S11" s="39"/>
      <c r="T11" s="56" t="s">
        <v>96</v>
      </c>
      <c r="U11" s="56" t="s">
        <v>96</v>
      </c>
      <c r="V11" s="750"/>
      <c r="W11" s="52"/>
      <c r="Z11"/>
    </row>
    <row r="12" spans="1:30" ht="15" customHeight="1" thickTop="1" x14ac:dyDescent="0.15">
      <c r="C12" s="182"/>
      <c r="D12" s="210"/>
      <c r="E12" s="184"/>
      <c r="F12" s="225"/>
      <c r="G12" s="297" t="str">
        <f ca="1">IF(OR(AC$8=0,L12="b"),"",IF(L12="l",0,"("&amp;FIXED(-F12,K13,0)&amp;M12))</f>
        <v/>
      </c>
      <c r="H12" s="183"/>
      <c r="I12" s="185"/>
      <c r="L12" t="str">
        <f t="shared" ref="L12:L67" ca="1" si="0">CELL("type",F12)</f>
        <v>b</v>
      </c>
      <c r="M12" t="str">
        <f>")"&amp;REPT(" ",2-K13)&amp;IF(K13=0," ","")</f>
        <v xml:space="preserve">) </v>
      </c>
      <c r="O12" s="253"/>
      <c r="P12" s="207">
        <f>D12</f>
        <v>0</v>
      </c>
      <c r="Q12" s="207">
        <f>E12</f>
        <v>0</v>
      </c>
      <c r="R12" s="300" t="str">
        <f t="shared" ref="R12:R67" ca="1" si="1">G12</f>
        <v/>
      </c>
      <c r="S12" s="304"/>
      <c r="T12" s="144"/>
      <c r="U12" s="206">
        <f ca="1">IF(OR(AC$8=0,SUM(Z13:AC13)=0),1,IF(L12="l","",SUM(AB13:AC13)))</f>
        <v>1</v>
      </c>
      <c r="V12" s="398"/>
      <c r="W12" s="50"/>
      <c r="Z12"/>
    </row>
    <row r="13" spans="1:30" ht="15" customHeight="1" x14ac:dyDescent="0.15">
      <c r="C13" s="186" t="s">
        <v>706</v>
      </c>
      <c r="D13" s="205" t="s">
        <v>43</v>
      </c>
      <c r="E13" s="188" t="s">
        <v>560</v>
      </c>
      <c r="F13" s="226">
        <v>62.2</v>
      </c>
      <c r="G13" s="296" t="str">
        <f ca="1">IF(L13="b","",IF(L13="l",0,FIXED(F13,K13,0)&amp;M13))</f>
        <v xml:space="preserve">62.2  </v>
      </c>
      <c r="H13" s="187" t="s">
        <v>58</v>
      </c>
      <c r="I13" s="189"/>
      <c r="K13" s="215">
        <v>1</v>
      </c>
      <c r="L13" t="str">
        <f t="shared" ca="1" si="0"/>
        <v>v</v>
      </c>
      <c r="M13" t="str">
        <f>REPT(" ",3-K13)&amp;IF(K13=0," ","")</f>
        <v xml:space="preserve">  </v>
      </c>
      <c r="O13" s="194"/>
      <c r="P13" s="208" t="str">
        <f>IF(ISNUMBER(D13),LOOKUP(D13,$AB$5:$AC$7),D13)</f>
        <v>ケ　ー　ブ　ル</v>
      </c>
      <c r="Q13" s="208" t="str">
        <f t="shared" ref="Q13:Q67" si="2">E13</f>
        <v>600V  EM-CE    3.5㎟ -3C</v>
      </c>
      <c r="R13" s="301" t="str">
        <f t="shared" ca="1" si="1"/>
        <v xml:space="preserve">62.2  </v>
      </c>
      <c r="S13" s="305" t="str">
        <f>H13</f>
        <v>ｍ</v>
      </c>
      <c r="T13" s="145">
        <v>217</v>
      </c>
      <c r="U13" s="216">
        <f ca="1">IF(L13="l","",IF(D13+F13&gt;0,SUM(Z13:AA13),-1))</f>
        <v>13497</v>
      </c>
      <c r="V13" s="399">
        <v>91</v>
      </c>
      <c r="W13" s="108"/>
      <c r="Z13" s="114">
        <f>IF(D13&gt;0,0,TRUNC(F13*T13+Y13*X13))</f>
        <v>13497</v>
      </c>
      <c r="AB13">
        <f ca="1">IF(OR(AC$8=0,L12="l",D13&gt;0,U13=-1),0,IF(L12="b",-U13,TRUNC(F12*T13)))</f>
        <v>0</v>
      </c>
    </row>
    <row r="14" spans="1:30" ht="15" customHeight="1" x14ac:dyDescent="0.15">
      <c r="C14" s="182"/>
      <c r="D14" s="210"/>
      <c r="E14" s="184"/>
      <c r="F14" s="225"/>
      <c r="G14" s="297" t="str">
        <f ca="1">IF(OR(AD$8=0,L14="b"),"",IF(L14="l",0,"("&amp;FIXED(-F14,K15,0)&amp;M14))</f>
        <v/>
      </c>
      <c r="H14" s="183"/>
      <c r="I14" s="185"/>
      <c r="L14" t="str">
        <f ca="1">CELL("type",F14)</f>
        <v>b</v>
      </c>
      <c r="M14" t="str">
        <f>")"&amp;REPT(" ",2-K15)&amp;IF(K15=0," ","")</f>
        <v xml:space="preserve">)   </v>
      </c>
      <c r="O14" s="194" t="s">
        <v>452</v>
      </c>
      <c r="P14" s="207">
        <f>D14</f>
        <v>0</v>
      </c>
      <c r="Q14" s="207">
        <f>E14</f>
        <v>0</v>
      </c>
      <c r="R14" s="300" t="str">
        <f ca="1">G14</f>
        <v/>
      </c>
      <c r="S14" s="304"/>
      <c r="T14" s="144"/>
      <c r="U14" s="206">
        <f ca="1">IF(OR(AC$8=0,SUM(Z15:AC15)=0),1,IF(L14="l","",SUM(AB15:AC15)))</f>
        <v>1</v>
      </c>
      <c r="V14" s="385"/>
      <c r="W14" s="197" t="str">
        <f>IF(OR(AD$8=0,Z14+Z15=0),"",TEXT(-Y14,"(#,0)"))</f>
        <v/>
      </c>
      <c r="Y14">
        <f ca="1">SUM(AB$13:AB13)</f>
        <v>0</v>
      </c>
      <c r="Z14"/>
    </row>
    <row r="15" spans="1:30" ht="15" customHeight="1" x14ac:dyDescent="0.15">
      <c r="C15" s="186"/>
      <c r="D15" s="205" t="s">
        <v>233</v>
      </c>
      <c r="E15" s="188" t="s">
        <v>47</v>
      </c>
      <c r="F15" s="226">
        <v>1</v>
      </c>
      <c r="G15" s="296" t="str">
        <f ca="1">IF(L15="b","",IF(L15="l",0,FIXED(F15,K15,0)&amp;M15))</f>
        <v xml:space="preserve">1    </v>
      </c>
      <c r="H15" s="187" t="s">
        <v>99</v>
      </c>
      <c r="I15" s="189"/>
      <c r="K15" s="215"/>
      <c r="L15" t="str">
        <f ca="1">CELL("type",F15)</f>
        <v>v</v>
      </c>
      <c r="M15" t="str">
        <f>REPT(" ",3-K15)&amp;IF(K15=0," ","")</f>
        <v xml:space="preserve">    </v>
      </c>
      <c r="O15" s="463" t="s">
        <v>453</v>
      </c>
      <c r="P15" s="208" t="str">
        <f>IF(ISNUMBER(D15),LOOKUP(D15,$AC$5:$AD$7),D15)</f>
        <v>付  属  材  料</v>
      </c>
      <c r="Q15" s="208" t="str">
        <f>E15</f>
        <v>上記材料費の1.5％</v>
      </c>
      <c r="R15" s="301" t="str">
        <f ca="1">G15</f>
        <v xml:space="preserve">1    </v>
      </c>
      <c r="S15" s="305" t="str">
        <f>H15</f>
        <v>式</v>
      </c>
      <c r="T15" s="145"/>
      <c r="U15" s="216">
        <f ca="1">IF(L15="l","",IF(D15+F15&gt;0,SUM(Z15:AA15),-1))</f>
        <v>202</v>
      </c>
      <c r="V15" s="386"/>
      <c r="W15" s="142" t="str">
        <f>TEXT(Y15," #,0×")&amp;TEXT(X15,"0.000＝")</f>
        <v xml:space="preserve"> 13,497×0.015＝</v>
      </c>
      <c r="X15">
        <f>VALUE(MID(E15,7,3))/100</f>
        <v>1.4999999999999999E-2</v>
      </c>
      <c r="Y15" s="114">
        <f>SUM(Z$13:Z13)</f>
        <v>13497</v>
      </c>
      <c r="Z15" s="114">
        <f>IF(D15&gt;0,0,TRUNC(F15*T15+Y15*X15))</f>
        <v>202</v>
      </c>
      <c r="AA15" t="b">
        <f>IF($D15=1,SUM(Z$13:Z13)-SUM(AA$13:AA13),IF($D15=2,$AA$6,IF($D15=3,TRUNC($AA$6,-3))))</f>
        <v>0</v>
      </c>
      <c r="AB15">
        <f ca="1">IF(OR(AC$8=0,L14="l",D15&gt;0,U15=-1),0,IF(L14="b",-U15,TRUNC(F14*T15)))</f>
        <v>0</v>
      </c>
      <c r="AC15" t="b">
        <f>IF($D15=1,SUM(AB$13:AB13)-SUM(AC$13:AC13),IF($D15=2,$AA$5,IF($D15=3,TRUNC($AA$5,-3))))</f>
        <v>0</v>
      </c>
    </row>
    <row r="16" spans="1:30" ht="15" customHeight="1" x14ac:dyDescent="0.15">
      <c r="C16" s="182"/>
      <c r="D16" s="210"/>
      <c r="E16" s="184"/>
      <c r="F16" s="225"/>
      <c r="G16" s="297" t="str">
        <f ca="1">IF(OR(AC$8=0,L16="b"),"",IF(L16="l",0,"("&amp;FIXED(-F16,K17,0)&amp;M16))</f>
        <v/>
      </c>
      <c r="H16" s="183"/>
      <c r="I16" s="185"/>
      <c r="L16" t="str">
        <f ca="1">CELL("type",F16)</f>
        <v>b</v>
      </c>
      <c r="M16" t="str">
        <f>")"&amp;REPT(" ",2-K17)&amp;IF(K17=0," ","")</f>
        <v xml:space="preserve">)   </v>
      </c>
      <c r="O16" s="194" t="s">
        <v>459</v>
      </c>
      <c r="P16" s="207">
        <f>D16</f>
        <v>0</v>
      </c>
      <c r="Q16" s="207">
        <f>E16</f>
        <v>0</v>
      </c>
      <c r="R16" s="300" t="str">
        <f ca="1">G16</f>
        <v/>
      </c>
      <c r="S16" s="304"/>
      <c r="T16" s="144"/>
      <c r="U16" s="206">
        <f ca="1">IF(OR(AC$8=0,SUM(Z17:AC17)=0),1,IF(L16="l","",SUM(AB17:AC17)))</f>
        <v>1</v>
      </c>
      <c r="V16" s="398"/>
      <c r="W16" s="50"/>
      <c r="Z16"/>
    </row>
    <row r="17" spans="3:29" ht="15" customHeight="1" x14ac:dyDescent="0.15">
      <c r="C17" s="186"/>
      <c r="D17" s="205"/>
      <c r="E17" s="188"/>
      <c r="F17" s="226"/>
      <c r="G17" s="296" t="str">
        <f ca="1">IF(L17="b","",IF(L17="l",0,FIXED(F17,K17,0)&amp;M17))</f>
        <v/>
      </c>
      <c r="H17" s="187"/>
      <c r="I17" s="189"/>
      <c r="K17" s="215"/>
      <c r="L17" t="str">
        <f ca="1">CELL("type",F17)</f>
        <v>b</v>
      </c>
      <c r="M17" t="str">
        <f>REPT(" ",3-K17)&amp;IF(K17=0," ","")</f>
        <v xml:space="preserve">    </v>
      </c>
      <c r="O17" s="194" t="s">
        <v>460</v>
      </c>
      <c r="P17" s="208">
        <f>IF(ISNUMBER(D17),LOOKUP(D17,$AB$5:$AC$7),D17)</f>
        <v>0</v>
      </c>
      <c r="Q17" s="208">
        <f>E17</f>
        <v>0</v>
      </c>
      <c r="R17" s="301" t="str">
        <f ca="1">G17</f>
        <v/>
      </c>
      <c r="S17" s="305">
        <f>H17</f>
        <v>0</v>
      </c>
      <c r="T17" s="145"/>
      <c r="U17" s="216">
        <f ca="1">IF(L17="l","",IF(D17+F17&gt;0,SUM(Z17:AA17),-1))</f>
        <v>-1</v>
      </c>
      <c r="V17" s="399"/>
      <c r="W17" s="107"/>
      <c r="Z17" s="114">
        <f>IF(D17&gt;0,0,TRUNC(F17*T17+Y17*X17))</f>
        <v>0</v>
      </c>
      <c r="AA17" t="b">
        <f>IF($D17=1,SUM(Z$13:Z15)-SUM(AA$13:AA15),IF($D17=2,$AA$6,IF($D17=3,TRUNC($AA$6,-3))))</f>
        <v>0</v>
      </c>
      <c r="AB17">
        <f ca="1">IF(OR(AC$8=0,L16="l",D17&gt;0,U17=-1),0,IF(L16="b",-U17,TRUNC(F16*T17)))</f>
        <v>0</v>
      </c>
      <c r="AC17" t="b">
        <f>IF($D17=1,SUM(AB$13:AB15)-SUM(AC$13:AC15),IF($D17=2,$AA$5,IF($D17=3,TRUNC($AA$5,-3))))</f>
        <v>0</v>
      </c>
    </row>
    <row r="18" spans="3:29" ht="15" customHeight="1" x14ac:dyDescent="0.15">
      <c r="C18" s="182"/>
      <c r="D18" s="210"/>
      <c r="E18" s="184"/>
      <c r="F18" s="225"/>
      <c r="G18" s="297" t="str">
        <f ca="1">IF(OR(AC$8=0,L18="b"),"",IF(L18="l",0,"("&amp;FIXED(-F18,K19,0)&amp;M18))</f>
        <v/>
      </c>
      <c r="H18" s="183"/>
      <c r="I18" s="185"/>
      <c r="L18" t="str">
        <f t="shared" ca="1" si="0"/>
        <v>b</v>
      </c>
      <c r="M18" t="str">
        <f>")"&amp;REPT(" ",2-K19)&amp;IF(K19=0," ","")</f>
        <v xml:space="preserve">)   </v>
      </c>
      <c r="O18" s="194"/>
      <c r="P18" s="207">
        <f>D18</f>
        <v>0</v>
      </c>
      <c r="Q18" s="207">
        <f t="shared" si="2"/>
        <v>0</v>
      </c>
      <c r="R18" s="300" t="str">
        <f t="shared" ca="1" si="1"/>
        <v/>
      </c>
      <c r="S18" s="304"/>
      <c r="T18" s="144"/>
      <c r="U18" s="206">
        <f ca="1">IF(OR(AC$8=0,SUM(Z19:AC19)=0),1,IF(L18="l","",SUM(AB19:AC19)))</f>
        <v>1</v>
      </c>
      <c r="V18" s="398"/>
      <c r="W18" s="50"/>
      <c r="Z18"/>
    </row>
    <row r="19" spans="3:29" ht="15" customHeight="1" x14ac:dyDescent="0.15">
      <c r="C19" s="186"/>
      <c r="D19" s="205">
        <v>1</v>
      </c>
      <c r="E19" s="188"/>
      <c r="F19" s="226"/>
      <c r="G19" s="296" t="str">
        <f ca="1">IF(L19="b","",IF(L19="l",0,FIXED(F19,K19,0)&amp;M19))</f>
        <v/>
      </c>
      <c r="H19" s="187"/>
      <c r="I19" s="189"/>
      <c r="K19" s="215"/>
      <c r="L19" t="str">
        <f t="shared" ca="1" si="0"/>
        <v>b</v>
      </c>
      <c r="M19" t="str">
        <f>REPT(" ",3-K19)&amp;IF(K19=0," ","")</f>
        <v xml:space="preserve">    </v>
      </c>
      <c r="O19" s="194"/>
      <c r="P19" s="208" t="str">
        <f>IF(ISNUMBER(D19),LOOKUP(D19,$AB$5:$AC$7),D19)</f>
        <v>小    　計</v>
      </c>
      <c r="Q19" s="208">
        <f t="shared" si="2"/>
        <v>0</v>
      </c>
      <c r="R19" s="301" t="str">
        <f t="shared" ca="1" si="1"/>
        <v/>
      </c>
      <c r="S19" s="305">
        <f>H19</f>
        <v>0</v>
      </c>
      <c r="T19" s="145"/>
      <c r="U19" s="216">
        <f ca="1">IF(L19="l","",IF(D19+F19&gt;0,SUM(Z19:AA19),-1))</f>
        <v>13699</v>
      </c>
      <c r="V19" s="399"/>
      <c r="W19" s="107"/>
      <c r="Z19" s="114">
        <f>IF(D19&gt;0,0,TRUNC(F19*T19+Y19*X19))</f>
        <v>0</v>
      </c>
      <c r="AA19">
        <f>IF($D19=1,SUM(Z$13:Z17)-SUM(AA$13:AA17),IF($D19=2,$AA$6,IF($D19=3,TRUNC($AA$6,-3))))</f>
        <v>13699</v>
      </c>
      <c r="AB19">
        <f ca="1">IF(OR(AC$8=0,L18="l",D19&gt;0,U19=-1),0,IF(L18="b",-U19,TRUNC(F18*T19)))</f>
        <v>0</v>
      </c>
      <c r="AC19">
        <f ca="1">IF($D19=1,SUM(AB$13:AB17)-SUM(AC$13:AC17),IF($D19=2,$AA$5,IF($D19=3,TRUNC($AA$5,-3))))</f>
        <v>0</v>
      </c>
    </row>
    <row r="20" spans="3:29" ht="15" customHeight="1" x14ac:dyDescent="0.15">
      <c r="C20" s="182"/>
      <c r="D20" s="214" t="s">
        <v>686</v>
      </c>
      <c r="E20" s="184"/>
      <c r="F20" s="227"/>
      <c r="G20" s="297" t="str">
        <f ca="1">IF(OR(AC$8=0,L20="b"),"",IF(L20="l",0,"("&amp;FIXED(-F20,K21,0)&amp;M20))</f>
        <v/>
      </c>
      <c r="H20" s="183"/>
      <c r="I20" s="185"/>
      <c r="L20" t="str">
        <f t="shared" ref="L20:L25" ca="1" si="3">CELL("type",F20)</f>
        <v>b</v>
      </c>
      <c r="M20" t="str">
        <f>")"&amp;REPT(" ",2-K21)&amp;IF(K21=0," ","")</f>
        <v xml:space="preserve">) </v>
      </c>
      <c r="O20" s="194"/>
      <c r="P20" s="317" t="str">
        <f>D20</f>
        <v>　耐衝撃性</v>
      </c>
      <c r="Q20" s="207">
        <f t="shared" ref="Q20:Q25" si="4">E20</f>
        <v>0</v>
      </c>
      <c r="R20" s="300" t="str">
        <f t="shared" ref="R20:R25" ca="1" si="5">G20</f>
        <v/>
      </c>
      <c r="S20" s="304"/>
      <c r="T20" s="144"/>
      <c r="U20" s="206">
        <f ca="1">IF(OR(AC$8=0,SUM(Z21:AC21)=0),1,IF(L20="l","",SUM(AB21:AC21)))</f>
        <v>1</v>
      </c>
      <c r="V20" s="385"/>
      <c r="W20" s="50"/>
      <c r="Z20"/>
    </row>
    <row r="21" spans="3:29" ht="15" customHeight="1" x14ac:dyDescent="0.15">
      <c r="C21" s="186" t="s">
        <v>59</v>
      </c>
      <c r="D21" s="213" t="s">
        <v>353</v>
      </c>
      <c r="E21" s="188" t="s">
        <v>373</v>
      </c>
      <c r="F21" s="226">
        <v>1.3</v>
      </c>
      <c r="G21" s="296" t="str">
        <f ca="1">IF(L21="b","",IF(L21="l",0,FIXED(F21,K21,0)&amp;M21))</f>
        <v xml:space="preserve">1.3  </v>
      </c>
      <c r="H21" s="187" t="s">
        <v>8</v>
      </c>
      <c r="I21" s="189" t="s">
        <v>53</v>
      </c>
      <c r="K21" s="215">
        <v>1</v>
      </c>
      <c r="L21" t="str">
        <f t="shared" ca="1" si="3"/>
        <v>v</v>
      </c>
      <c r="M21" t="str">
        <f>REPT(" ",3-K21)&amp;IF(K21=0," ","")</f>
        <v xml:space="preserve">  </v>
      </c>
      <c r="O21" s="194" t="s">
        <v>15</v>
      </c>
      <c r="P21" s="256" t="str">
        <f>IF(ISNUMBER(D21),LOOKUP(D21,$AB$5:$AC$7),D21)</f>
        <v>硬質ビニル電線管　</v>
      </c>
      <c r="Q21" s="208" t="str">
        <f t="shared" si="4"/>
        <v>HIVE (28)</v>
      </c>
      <c r="R21" s="301" t="str">
        <f t="shared" ca="1" si="5"/>
        <v xml:space="preserve">1.3  </v>
      </c>
      <c r="S21" s="305" t="str">
        <f>H21</f>
        <v>ｍ</v>
      </c>
      <c r="T21" s="145">
        <v>200</v>
      </c>
      <c r="U21" s="216">
        <f ca="1">IF(L21="l","",IF(D21+F21&gt;0,SUM(Z21:AA21),-1))</f>
        <v>260</v>
      </c>
      <c r="V21" s="386">
        <v>4</v>
      </c>
      <c r="W21" s="107"/>
      <c r="Z21" s="114">
        <f>IF(D21&gt;0,0,TRUNC(F21*T21+Y21*X21))</f>
        <v>260</v>
      </c>
      <c r="AA21" t="b">
        <f>IF($D21=1,SUM(Z$13:Z19)-SUM(AA$13:AA19),IF($D21=2,$AA$6,IF($D21=3,TRUNC($AA$6,-3))))</f>
        <v>0</v>
      </c>
      <c r="AB21">
        <f ca="1">IF(OR(AC$8=0,L20="l",D21&gt;0,U21=-1),0,IF(L20="b",-U21,TRUNC(F20*T21)))</f>
        <v>0</v>
      </c>
      <c r="AC21" t="b">
        <f>IF($D21=1,SUM(AB$13:AB19)-SUM(AC$13:AC19),IF($D21=2,$AA$5,IF($D21=3,TRUNC($AA$5,-3))))</f>
        <v>0</v>
      </c>
    </row>
    <row r="22" spans="3:29" ht="15" customHeight="1" x14ac:dyDescent="0.15">
      <c r="C22" s="182"/>
      <c r="D22" s="210"/>
      <c r="E22" s="184"/>
      <c r="F22" s="227"/>
      <c r="G22" s="297" t="str">
        <f ca="1">IF(OR(AC$8=0,L22="b"),"",IF(L22="l",0,"("&amp;FIXED(-F22,K23,0)&amp;M22))</f>
        <v/>
      </c>
      <c r="H22" s="183"/>
      <c r="I22" s="185"/>
      <c r="L22" t="str">
        <f t="shared" ca="1" si="3"/>
        <v>b</v>
      </c>
      <c r="M22" t="str">
        <f>")"&amp;REPT(" ",2-K23)&amp;IF(K23=0," ","")</f>
        <v xml:space="preserve">)   </v>
      </c>
      <c r="O22" s="194"/>
      <c r="P22" s="207">
        <f>D22</f>
        <v>0</v>
      </c>
      <c r="Q22" s="207">
        <f t="shared" si="4"/>
        <v>0</v>
      </c>
      <c r="R22" s="300" t="str">
        <f t="shared" ca="1" si="5"/>
        <v/>
      </c>
      <c r="S22" s="304"/>
      <c r="T22" s="144"/>
      <c r="U22" s="206">
        <f ca="1">IF(OR(AC$8=0,SUM(Z23:AC23)=0),1,IF(L22="l","",SUM(AB23:AC23)))</f>
        <v>1</v>
      </c>
      <c r="V22" s="385"/>
      <c r="W22" s="50" t="str">
        <f ca="1">IF(OR(AC$8=0,SUM(Z23:AC23)=0),"",CONCATENATE("(",FIXED(-#REF!,0),")"))</f>
        <v/>
      </c>
      <c r="Y22">
        <f ca="1">SUM(AB21:AB21)</f>
        <v>0</v>
      </c>
      <c r="Z22"/>
    </row>
    <row r="23" spans="3:29" ht="15" customHeight="1" x14ac:dyDescent="0.15">
      <c r="C23" s="186"/>
      <c r="D23" s="205" t="s">
        <v>233</v>
      </c>
      <c r="E23" s="188" t="s">
        <v>4</v>
      </c>
      <c r="F23" s="226">
        <v>1</v>
      </c>
      <c r="G23" s="296" t="str">
        <f ca="1">IF(L23="b","",IF(L23="l",0,FIXED(F23,K23,0)&amp;M23))</f>
        <v xml:space="preserve">1    </v>
      </c>
      <c r="H23" s="187" t="s">
        <v>99</v>
      </c>
      <c r="I23" s="189"/>
      <c r="K23" s="215"/>
      <c r="L23" t="str">
        <f t="shared" ca="1" si="3"/>
        <v>v</v>
      </c>
      <c r="M23" t="str">
        <f>REPT(" ",3-K23)&amp;IF(K23=0," ","")</f>
        <v xml:space="preserve">    </v>
      </c>
      <c r="O23" s="194" t="s">
        <v>16</v>
      </c>
      <c r="P23" s="208" t="str">
        <f>IF(ISNUMBER(D23),LOOKUP(D23,$AB$5:$AC$7),D23)</f>
        <v>付  属  材  料</v>
      </c>
      <c r="Q23" s="208" t="str">
        <f t="shared" si="4"/>
        <v>上記材料費の 90％</v>
      </c>
      <c r="R23" s="301" t="str">
        <f t="shared" ca="1" si="5"/>
        <v xml:space="preserve">1    </v>
      </c>
      <c r="S23" s="305" t="str">
        <f>H23</f>
        <v>式</v>
      </c>
      <c r="T23" s="145"/>
      <c r="U23" s="216">
        <f ca="1">IF(L23="l","",IF(D23+F23&gt;0,SUM(Z23:AA23),-1))</f>
        <v>234</v>
      </c>
      <c r="V23" s="386"/>
      <c r="W23" s="107" t="str">
        <f>TEXT(Y23," #,0×")&amp;TEXT(X23,"0.00＝")</f>
        <v xml:space="preserve"> 260×0.90＝</v>
      </c>
      <c r="X23">
        <f>VALUE(RIGHT(E23,4))</f>
        <v>0.9</v>
      </c>
      <c r="Y23">
        <f>SUM(Z21:Z21)</f>
        <v>260</v>
      </c>
      <c r="Z23" s="114">
        <f>IF(D23&gt;0,0,TRUNC(F23*T23+Y23*X23))</f>
        <v>234</v>
      </c>
      <c r="AA23" t="b">
        <f>IF($D23=1,SUM(Z$13:Z21)-SUM(AA$13:AA21),IF($D23=2,$AA$6,IF($D23=3,TRUNC($AA$6,-3))))</f>
        <v>0</v>
      </c>
      <c r="AB23">
        <f ca="1">IF(OR(AC$8=0,L22="l",D23&gt;0,U23=-1),0,IF(L22="b",-U23,TRUNC(F22*T23)))</f>
        <v>0</v>
      </c>
      <c r="AC23" t="b">
        <f>IF($D23=1,SUM(AB$13:AB21)-SUM(AC$13:AC21),IF($D23=2,$AA$5,IF($D23=3,TRUNC($AA$5,-3))))</f>
        <v>0</v>
      </c>
    </row>
    <row r="24" spans="3:29" ht="15" customHeight="1" x14ac:dyDescent="0.15">
      <c r="C24" s="182"/>
      <c r="D24" s="210"/>
      <c r="E24" s="184"/>
      <c r="F24" s="227"/>
      <c r="G24" s="297" t="str">
        <f ca="1">IF(OR(AC$8=0,L24="b"),"",IF(L24="l",0,"("&amp;FIXED(-F24,K25,0)&amp;M24))</f>
        <v/>
      </c>
      <c r="H24" s="183"/>
      <c r="I24" s="185"/>
      <c r="L24" t="str">
        <f t="shared" ca="1" si="3"/>
        <v>b</v>
      </c>
      <c r="M24" t="str">
        <f>")"&amp;REPT(" ",2-K25)&amp;IF(K25=0," ","")</f>
        <v xml:space="preserve">)   </v>
      </c>
      <c r="O24" s="194"/>
      <c r="P24" s="207">
        <f>D24</f>
        <v>0</v>
      </c>
      <c r="Q24" s="207">
        <f t="shared" si="4"/>
        <v>0</v>
      </c>
      <c r="R24" s="300" t="str">
        <f t="shared" ca="1" si="5"/>
        <v/>
      </c>
      <c r="S24" s="304"/>
      <c r="T24" s="144"/>
      <c r="U24" s="206">
        <f ca="1">IF(OR(AC$8=0,SUM(Z25:AC25)=0),1,IF(L24="l","",SUM(AB25:AC25)))</f>
        <v>1</v>
      </c>
      <c r="V24" s="385"/>
      <c r="W24" s="50" t="str">
        <f ca="1">IF(OR(AC$8=0,SUM(Z25:AC25)=0),"",CONCATENATE("(",FIXED(-#REF!,0),")"))</f>
        <v/>
      </c>
      <c r="Z24"/>
    </row>
    <row r="25" spans="3:29" ht="15" customHeight="1" x14ac:dyDescent="0.15">
      <c r="C25" s="186"/>
      <c r="D25" s="205"/>
      <c r="E25" s="188"/>
      <c r="F25" s="226"/>
      <c r="G25" s="296" t="str">
        <f ca="1">IF(L25="b","",IF(L25="l",0,FIXED(F25,K25,0)&amp;M25))</f>
        <v/>
      </c>
      <c r="H25" s="187"/>
      <c r="I25" s="189"/>
      <c r="K25" s="215"/>
      <c r="L25" t="str">
        <f t="shared" ca="1" si="3"/>
        <v>b</v>
      </c>
      <c r="M25" t="str">
        <f>REPT(" ",3-K25)&amp;IF(K25=0," ","")</f>
        <v xml:space="preserve">    </v>
      </c>
      <c r="O25" s="194" t="s">
        <v>17</v>
      </c>
      <c r="P25" s="208">
        <f>IF(ISNUMBER(D25),LOOKUP(D25,$AB$5:$AC$7),D25)</f>
        <v>0</v>
      </c>
      <c r="Q25" s="208">
        <f t="shared" si="4"/>
        <v>0</v>
      </c>
      <c r="R25" s="301" t="str">
        <f t="shared" ca="1" si="5"/>
        <v/>
      </c>
      <c r="S25" s="305">
        <f>H25</f>
        <v>0</v>
      </c>
      <c r="T25" s="145"/>
      <c r="U25" s="216">
        <f ca="1">IF(L25="l","",IF(D25+F25&gt;0,SUM(Z25:AA25),-1))</f>
        <v>-1</v>
      </c>
      <c r="V25" s="386"/>
      <c r="W25" s="107"/>
      <c r="Y25" s="114"/>
      <c r="Z25" s="114">
        <f>IF(D25&gt;0,0,TRUNC(F25*T25+Y25*X25))</f>
        <v>0</v>
      </c>
      <c r="AA25" t="b">
        <f>IF($D25=1,SUM(Z$13:Z23)-SUM(AA$13:AA23),IF($D25=2,$AA$6,IF($D25=3,TRUNC($AA$6,-3))))</f>
        <v>0</v>
      </c>
      <c r="AB25">
        <f ca="1">IF(OR(AC$8=0,L24="l",D25&gt;0,U25=-1),0,IF(L24="b",-U25,TRUNC(F24*T25)))</f>
        <v>0</v>
      </c>
      <c r="AC25" t="b">
        <f>IF($D25=1,SUM(AB$13:AB23)-SUM(AC$13:AC23),IF($D25=2,$AA$5,IF($D25=3,TRUNC($AA$5,-3))))</f>
        <v>0</v>
      </c>
    </row>
    <row r="26" spans="3:29" ht="15" customHeight="1" x14ac:dyDescent="0.15">
      <c r="C26" s="182"/>
      <c r="D26" s="210"/>
      <c r="E26" s="184"/>
      <c r="F26" s="227"/>
      <c r="G26" s="297" t="str">
        <f ca="1">IF(OR(AC$8=0,L26="b"),"",IF(L26="l",0,"("&amp;FIXED(-F26,K27,0)&amp;M26))</f>
        <v/>
      </c>
      <c r="H26" s="183"/>
      <c r="I26" s="185"/>
      <c r="L26" t="str">
        <f t="shared" ca="1" si="0"/>
        <v>b</v>
      </c>
      <c r="M26" t="str">
        <f>")"&amp;REPT(" ",2-K27)&amp;IF(K27=0," ","")</f>
        <v xml:space="preserve">)   </v>
      </c>
      <c r="O26" s="194"/>
      <c r="P26" s="207">
        <f>D26</f>
        <v>0</v>
      </c>
      <c r="Q26" s="207">
        <f t="shared" si="2"/>
        <v>0</v>
      </c>
      <c r="R26" s="300" t="str">
        <f t="shared" ca="1" si="1"/>
        <v/>
      </c>
      <c r="S26" s="304"/>
      <c r="T26" s="144"/>
      <c r="U26" s="206">
        <f ca="1">IF(OR(AC$8=0,SUM(Z27:AC27)=0),1,IF(L26="l","",SUM(AB27:AC27)))</f>
        <v>1</v>
      </c>
      <c r="V26" s="385"/>
      <c r="W26" s="50" t="str">
        <f ca="1">IF(OR(AC$8=0,SUM(Z27:AC27)=0),"",CONCATENATE("(",FIXED(-#REF!,0),")"))</f>
        <v/>
      </c>
      <c r="Z26"/>
    </row>
    <row r="27" spans="3:29" ht="15" customHeight="1" x14ac:dyDescent="0.15">
      <c r="C27" s="186"/>
      <c r="D27" s="205">
        <v>1</v>
      </c>
      <c r="E27" s="188"/>
      <c r="F27" s="226"/>
      <c r="G27" s="296" t="str">
        <f ca="1">IF(L27="b","",IF(L27="l",0,FIXED(F27,K27,0)&amp;M27))</f>
        <v/>
      </c>
      <c r="H27" s="187"/>
      <c r="I27" s="189"/>
      <c r="K27" s="215"/>
      <c r="L27" t="str">
        <f t="shared" ca="1" si="0"/>
        <v>b</v>
      </c>
      <c r="M27" t="str">
        <f>REPT(" ",3-K27)&amp;IF(K27=0," ","")</f>
        <v xml:space="preserve">    </v>
      </c>
      <c r="O27" s="194"/>
      <c r="P27" s="208" t="str">
        <f>IF(ISNUMBER(D27),LOOKUP(D27,$AB$5:$AC$7),D27)</f>
        <v>小    　計</v>
      </c>
      <c r="Q27" s="208">
        <f t="shared" si="2"/>
        <v>0</v>
      </c>
      <c r="R27" s="301" t="str">
        <f t="shared" ca="1" si="1"/>
        <v/>
      </c>
      <c r="S27" s="305">
        <f>H27</f>
        <v>0</v>
      </c>
      <c r="T27" s="145"/>
      <c r="U27" s="216">
        <f ca="1">IF(L27="l","",IF(D27+F27&gt;0,SUM(Z27:AA27),-1))</f>
        <v>494</v>
      </c>
      <c r="V27" s="386"/>
      <c r="W27" s="107"/>
      <c r="Y27" s="114"/>
      <c r="Z27" s="114">
        <f>IF(D27&gt;0,0,TRUNC(F27*T27+Y27*X27))</f>
        <v>0</v>
      </c>
      <c r="AA27">
        <f>IF($D27=1,SUM(Z$13:Z25)-SUM(AA$13:AA25),IF($D27=2,$AA$6,IF($D27=3,TRUNC($AA$6,-3))))</f>
        <v>494</v>
      </c>
      <c r="AB27">
        <f ca="1">IF(OR(AC$8=0,L26="l",D27&gt;0,U27=-1),0,IF(L26="b",-U27,TRUNC(F26*T27)))</f>
        <v>0</v>
      </c>
      <c r="AC27">
        <f ca="1">IF($D27=1,SUM(AB$13:AB25)-SUM(AC$13:AC25),IF($D27=2,$AA$5,IF($D27=3,TRUNC($AA$5,-3))))</f>
        <v>0</v>
      </c>
    </row>
    <row r="28" spans="3:29" ht="15" customHeight="1" x14ac:dyDescent="0.15">
      <c r="C28" s="182"/>
      <c r="D28" s="210"/>
      <c r="E28" s="184"/>
      <c r="F28" s="227"/>
      <c r="G28" s="297" t="str">
        <f ca="1">IF(OR(AC$8=0,L28="b"),"",IF(L28="l",0,"("&amp;FIXED(-F28,K29,0)&amp;M28))</f>
        <v/>
      </c>
      <c r="H28" s="183"/>
      <c r="I28" s="185" t="s">
        <v>696</v>
      </c>
      <c r="L28" t="str">
        <f t="shared" ca="1" si="0"/>
        <v>b</v>
      </c>
      <c r="M28" t="str">
        <f>")"&amp;REPT(" ",2-K29)&amp;IF(K29=0," ","")</f>
        <v xml:space="preserve">)   </v>
      </c>
      <c r="O28" s="194"/>
      <c r="P28" s="207">
        <f>D28</f>
        <v>0</v>
      </c>
      <c r="Q28" s="207">
        <f t="shared" si="2"/>
        <v>0</v>
      </c>
      <c r="R28" s="300" t="str">
        <f t="shared" ca="1" si="1"/>
        <v/>
      </c>
      <c r="S28" s="304"/>
      <c r="T28" s="144"/>
      <c r="U28" s="206">
        <f ca="1">IF(OR(AC$8=0,SUM(Z29:AC29)=0),1,IF(L28="l","",SUM(AB29:AC29)))</f>
        <v>1</v>
      </c>
      <c r="V28" s="385"/>
      <c r="W28" s="50" t="str">
        <f>I28</f>
        <v>ﾊﾟﾅｿﾆｯｸ電工</v>
      </c>
      <c r="Z28"/>
    </row>
    <row r="29" spans="3:29" ht="15" customHeight="1" x14ac:dyDescent="0.15">
      <c r="C29" s="186" t="s">
        <v>692</v>
      </c>
      <c r="D29" s="205" t="s">
        <v>454</v>
      </c>
      <c r="E29" s="188" t="s">
        <v>691</v>
      </c>
      <c r="F29" s="226">
        <v>1</v>
      </c>
      <c r="G29" s="296" t="str">
        <f ca="1">IF(L29="b","",IF(L29="l",0,FIXED(F29,K29,0)&amp;M29))</f>
        <v xml:space="preserve">1    </v>
      </c>
      <c r="H29" s="187" t="s">
        <v>378</v>
      </c>
      <c r="I29" s="189" t="s">
        <v>697</v>
      </c>
      <c r="K29" s="215"/>
      <c r="L29" t="str">
        <f t="shared" ca="1" si="0"/>
        <v>v</v>
      </c>
      <c r="M29" t="str">
        <f>REPT(" ",3-K29)&amp;IF(K29=0," ","")</f>
        <v xml:space="preserve">    </v>
      </c>
      <c r="O29" s="194" t="s">
        <v>693</v>
      </c>
      <c r="P29" s="208" t="str">
        <f>IF(ISNUMBER(D29),LOOKUP(D29,$AB$5:$AC$7),D29)</f>
        <v>灯　　　　　具</v>
      </c>
      <c r="Q29" s="208" t="str">
        <f t="shared" si="2"/>
        <v>FHT42W×1 ﾗﾝﾌﾟ･安定器含む</v>
      </c>
      <c r="R29" s="301" t="str">
        <f t="shared" ca="1" si="1"/>
        <v xml:space="preserve">1    </v>
      </c>
      <c r="S29" s="305" t="str">
        <f>H29</f>
        <v>台</v>
      </c>
      <c r="T29" s="519">
        <v>29500</v>
      </c>
      <c r="U29" s="216">
        <f ca="1">IF(L29="l","",IF(D29+F29&gt;0,SUM(Z29:AA29),-1))</f>
        <v>29500</v>
      </c>
      <c r="V29" s="528" t="s">
        <v>695</v>
      </c>
      <c r="W29" s="107" t="str">
        <f>I29</f>
        <v>YF4130ZENM相当品</v>
      </c>
      <c r="Y29" s="114"/>
      <c r="Z29" s="114">
        <f>IF(D29&gt;0,0,TRUNC(F29*T29+Y29*X29))</f>
        <v>29500</v>
      </c>
      <c r="AA29" t="b">
        <f>IF($D29=1,SUM(Z$13:Z27)-SUM(AA$13:AA27),IF($D29=2,$AA$6,IF($D29=3,TRUNC($AA$6,-3))))</f>
        <v>0</v>
      </c>
      <c r="AB29">
        <f ca="1">IF(OR(AC$8=0,L28="l",D29&gt;0,U29=-1),0,IF(L28="b",-U29,TRUNC(F28*T29)))</f>
        <v>0</v>
      </c>
      <c r="AC29" t="b">
        <f>IF($D29=1,SUM(AB$13:AB27)-SUM(AC$13:AC27),IF($D29=2,$AA$5,IF($D29=3,TRUNC($AA$5,-3))))</f>
        <v>0</v>
      </c>
    </row>
    <row r="30" spans="3:29" ht="15" customHeight="1" x14ac:dyDescent="0.15">
      <c r="C30" s="182"/>
      <c r="D30" s="210"/>
      <c r="E30" s="184"/>
      <c r="F30" s="227"/>
      <c r="G30" s="297" t="str">
        <f ca="1">IF(OR(AC$8=0,L30="b"),"",IF(L30="l",0,"("&amp;FIXED(-F30,K31,0)&amp;M30))</f>
        <v/>
      </c>
      <c r="H30" s="183"/>
      <c r="I30" s="185"/>
      <c r="L30" t="str">
        <f t="shared" ca="1" si="0"/>
        <v>b</v>
      </c>
      <c r="M30" t="str">
        <f>")"&amp;REPT(" ",2-K31)&amp;IF(K31=0," ","")</f>
        <v xml:space="preserve">)   </v>
      </c>
      <c r="O30" s="194" t="s">
        <v>694</v>
      </c>
      <c r="P30" s="207">
        <f>D30</f>
        <v>0</v>
      </c>
      <c r="Q30" s="207">
        <f t="shared" si="2"/>
        <v>0</v>
      </c>
      <c r="R30" s="300" t="str">
        <f t="shared" ca="1" si="1"/>
        <v/>
      </c>
      <c r="S30" s="304"/>
      <c r="T30" s="144"/>
      <c r="U30" s="206">
        <f ca="1">IF(OR(AC$8=0,SUM(Z31:AC31)=0),1,IF(L30="l","",SUM(AB31:AC31)))</f>
        <v>1</v>
      </c>
      <c r="V30" s="385"/>
      <c r="W30" s="50"/>
      <c r="Z30"/>
    </row>
    <row r="31" spans="3:29" ht="15" customHeight="1" x14ac:dyDescent="0.15">
      <c r="C31" s="186"/>
      <c r="D31" s="205"/>
      <c r="E31" s="188"/>
      <c r="F31" s="226"/>
      <c r="G31" s="296" t="str">
        <f ca="1">IF(L31="b","",IF(L31="l",0,FIXED(F31,K31,0)&amp;M31))</f>
        <v/>
      </c>
      <c r="H31" s="187"/>
      <c r="I31" s="189"/>
      <c r="K31" s="215"/>
      <c r="L31" t="str">
        <f t="shared" ca="1" si="0"/>
        <v>b</v>
      </c>
      <c r="M31" t="str">
        <f>REPT(" ",3-K31)&amp;IF(K31=0," ","")</f>
        <v xml:space="preserve">    </v>
      </c>
      <c r="O31" s="194" t="s">
        <v>19</v>
      </c>
      <c r="P31" s="208">
        <f>IF(ISNUMBER(D31),LOOKUP(D31,$AB$5:$AC$7),D31)</f>
        <v>0</v>
      </c>
      <c r="Q31" s="208">
        <f t="shared" si="2"/>
        <v>0</v>
      </c>
      <c r="R31" s="301" t="str">
        <f t="shared" ca="1" si="1"/>
        <v/>
      </c>
      <c r="S31" s="305">
        <f>H31</f>
        <v>0</v>
      </c>
      <c r="T31" s="145"/>
      <c r="U31" s="216">
        <f ca="1">IF(L31="l","",IF(D31+F31&gt;0,SUM(Z31:AA31),-1))</f>
        <v>-1</v>
      </c>
      <c r="V31" s="386"/>
      <c r="W31" s="107"/>
      <c r="Y31" s="114"/>
      <c r="Z31" s="114">
        <f>IF(D31&gt;0,0,TRUNC(F31*T31+Y31*X31))</f>
        <v>0</v>
      </c>
      <c r="AA31" t="b">
        <f>IF($D31=1,SUM(Z$13:Z29)-SUM(AA$13:AA29),IF($D31=2,$AA$6,IF($D31=3,TRUNC($AA$6,-3))))</f>
        <v>0</v>
      </c>
      <c r="AB31">
        <f ca="1">IF(OR(AC$8=0,L30="l",D31&gt;0,U31=-1),0,IF(L30="b",-U31,TRUNC(F30*T31)))</f>
        <v>0</v>
      </c>
      <c r="AC31" t="b">
        <f>IF($D31=1,SUM(AB$13:AB29)-SUM(AC$13:AC29),IF($D31=2,$AA$5,IF($D31=3,TRUNC($AA$5,-3))))</f>
        <v>0</v>
      </c>
    </row>
    <row r="32" spans="3:29" ht="15" customHeight="1" x14ac:dyDescent="0.15">
      <c r="C32" s="182"/>
      <c r="D32" s="210"/>
      <c r="E32" s="184"/>
      <c r="F32" s="227"/>
      <c r="G32" s="297" t="str">
        <f ca="1">IF(OR(AC$8=0,L32="b"),"",IF(L32="l",0,"("&amp;FIXED(-F32,K33,0)&amp;M32))</f>
        <v/>
      </c>
      <c r="H32" s="183"/>
      <c r="I32" s="185"/>
      <c r="L32" t="str">
        <f t="shared" ref="L32:L37" ca="1" si="6">CELL("type",F32)</f>
        <v>b</v>
      </c>
      <c r="M32" t="str">
        <f>")"&amp;REPT(" ",2-K33)&amp;IF(K33=0," ","")</f>
        <v xml:space="preserve">)   </v>
      </c>
      <c r="O32" s="194"/>
      <c r="P32" s="207">
        <f>D32</f>
        <v>0</v>
      </c>
      <c r="Q32" s="207">
        <f t="shared" ref="Q32:Q37" si="7">E32</f>
        <v>0</v>
      </c>
      <c r="R32" s="300" t="str">
        <f t="shared" ref="R32:R37" ca="1" si="8">G32</f>
        <v/>
      </c>
      <c r="S32" s="304"/>
      <c r="T32" s="144"/>
      <c r="U32" s="206">
        <f ca="1">IF(OR(AC$8=0,SUM(Z33:AC33)=0),1,IF(L32="l","",SUM(AB33:AC33)))</f>
        <v>1</v>
      </c>
      <c r="V32" s="385"/>
      <c r="W32" s="50"/>
      <c r="Z32"/>
    </row>
    <row r="33" spans="3:29" ht="15" customHeight="1" x14ac:dyDescent="0.15">
      <c r="C33" s="186"/>
      <c r="D33" s="205">
        <v>1</v>
      </c>
      <c r="E33" s="188"/>
      <c r="F33" s="226"/>
      <c r="G33" s="296" t="str">
        <f ca="1">IF(L33="b","",IF(L33="l",0,FIXED(F33,K33,0)&amp;M33))</f>
        <v/>
      </c>
      <c r="H33" s="187"/>
      <c r="I33" s="189"/>
      <c r="K33" s="215"/>
      <c r="L33" t="str">
        <f t="shared" ca="1" si="6"/>
        <v>b</v>
      </c>
      <c r="M33" t="str">
        <f>REPT(" ",3-K33)&amp;IF(K33=0," ","")</f>
        <v xml:space="preserve">    </v>
      </c>
      <c r="O33" s="194"/>
      <c r="P33" s="208" t="str">
        <f>IF(ISNUMBER(D33),LOOKUP(D33,$AB$5:$AC$7),D33)</f>
        <v>小    　計</v>
      </c>
      <c r="Q33" s="208">
        <f t="shared" si="7"/>
        <v>0</v>
      </c>
      <c r="R33" s="301" t="str">
        <f t="shared" ca="1" si="8"/>
        <v/>
      </c>
      <c r="S33" s="305">
        <f>H33</f>
        <v>0</v>
      </c>
      <c r="T33" s="145"/>
      <c r="U33" s="216">
        <f ca="1">IF(L33="l","",IF(D33+F33&gt;0,SUM(Z33:AA33),-1))</f>
        <v>29500</v>
      </c>
      <c r="V33" s="386"/>
      <c r="W33" s="107"/>
      <c r="Z33" s="114">
        <f>IF(D33&gt;0,0,TRUNC(F33*T33+Y33*X33))</f>
        <v>0</v>
      </c>
      <c r="AA33">
        <f>IF($D33=1,SUM(Z$13:Z31)-SUM(AA$13:AA31),IF($D33=2,$AA$6,IF($D33=3,TRUNC($AA$6,-3))))</f>
        <v>29500</v>
      </c>
      <c r="AB33">
        <f ca="1">IF(OR(AC$8=0,L32="l",D33&gt;0,U33=-1),0,IF(L32="b",-U33,TRUNC(F32*T33)))</f>
        <v>0</v>
      </c>
      <c r="AC33">
        <f ca="1">IF($D33=1,SUM(AB$13:AB31)-SUM(AC$13:AC31),IF($D33=2,$AA$5,IF($D33=3,TRUNC($AA$5,-3))))</f>
        <v>0</v>
      </c>
    </row>
    <row r="34" spans="3:29" ht="15" customHeight="1" x14ac:dyDescent="0.15">
      <c r="C34" s="182"/>
      <c r="D34" s="210"/>
      <c r="E34" s="184"/>
      <c r="F34" s="227"/>
      <c r="G34" s="297" t="str">
        <f ca="1">IF(OR(AC$8=0,L34="b"),"",IF(L34="l",0,"("&amp;FIXED(-F34,K35,0)&amp;M34))</f>
        <v/>
      </c>
      <c r="H34" s="183"/>
      <c r="I34" s="185"/>
      <c r="L34" t="str">
        <f t="shared" ca="1" si="6"/>
        <v>b</v>
      </c>
      <c r="M34" t="str">
        <f>")"&amp;REPT(" ",2-K35)&amp;IF(K35=0," ","")</f>
        <v xml:space="preserve">)   </v>
      </c>
      <c r="O34" s="194"/>
      <c r="P34" s="207">
        <f>D34</f>
        <v>0</v>
      </c>
      <c r="Q34" s="207">
        <f t="shared" si="7"/>
        <v>0</v>
      </c>
      <c r="R34" s="300" t="str">
        <f t="shared" ca="1" si="8"/>
        <v/>
      </c>
      <c r="S34" s="304"/>
      <c r="T34" s="144"/>
      <c r="U34" s="206">
        <f ca="1">IF(OR(AC$8=0,SUM(Z35:AC35)=0),1,IF(L34="l","",SUM(AB35:AC35)))</f>
        <v>1</v>
      </c>
      <c r="V34" s="385"/>
      <c r="W34" s="50"/>
      <c r="Z34"/>
    </row>
    <row r="35" spans="3:29" ht="15" customHeight="1" x14ac:dyDescent="0.15">
      <c r="C35" s="186"/>
      <c r="D35" s="205"/>
      <c r="E35" s="188"/>
      <c r="F35" s="226"/>
      <c r="G35" s="296" t="str">
        <f ca="1">IF(L35="b","",IF(L35="l",0,FIXED(F35,K35,0)&amp;M35))</f>
        <v/>
      </c>
      <c r="H35" s="187"/>
      <c r="I35" s="189"/>
      <c r="K35" s="215"/>
      <c r="L35" t="str">
        <f t="shared" ca="1" si="6"/>
        <v>b</v>
      </c>
      <c r="M35" t="str">
        <f>REPT(" ",3-K35)&amp;IF(K35=0," ","")</f>
        <v xml:space="preserve">    </v>
      </c>
      <c r="O35" s="194"/>
      <c r="P35" s="208">
        <f>IF(ISNUMBER(D35),LOOKUP(D35,$AB$5:$AC$7),D35)</f>
        <v>0</v>
      </c>
      <c r="Q35" s="208">
        <f t="shared" si="7"/>
        <v>0</v>
      </c>
      <c r="R35" s="301" t="str">
        <f t="shared" ca="1" si="8"/>
        <v/>
      </c>
      <c r="S35" s="305">
        <f>H35</f>
        <v>0</v>
      </c>
      <c r="T35" s="145"/>
      <c r="U35" s="216">
        <f ca="1">IF(L35="l","",IF(D35+F35&gt;0,SUM(Z35:AA35),-1))</f>
        <v>-1</v>
      </c>
      <c r="V35" s="386"/>
      <c r="W35" s="107"/>
      <c r="Z35" s="114">
        <f>IF(D35&gt;0,0,TRUNC(F35*T35+Y35*X35))</f>
        <v>0</v>
      </c>
      <c r="AA35" t="b">
        <f>IF($D35=1,SUM(Z$13:Z33)-SUM(AA$13:AA33),IF($D35=2,$AA$6,IF($D35=3,TRUNC($AA$6,-3))))</f>
        <v>0</v>
      </c>
      <c r="AB35">
        <f ca="1">IF(OR(AC$8=0,L34="l",D35&gt;0,U35=-1),0,IF(L34="b",-U35,TRUNC(F34*T35)))</f>
        <v>0</v>
      </c>
      <c r="AC35" t="b">
        <f>IF($D35=1,SUM(AB$13:AB33)-SUM(AC$13:AC33),IF($D35=2,$AA$5,IF($D35=3,TRUNC($AA$5,-3))))</f>
        <v>0</v>
      </c>
    </row>
    <row r="36" spans="3:29" ht="15" customHeight="1" x14ac:dyDescent="0.15">
      <c r="C36" s="182"/>
      <c r="D36" s="210"/>
      <c r="E36" s="184"/>
      <c r="F36" s="227"/>
      <c r="G36" s="297" t="str">
        <f ca="1">IF(OR(AC$8=0,L36="b"),"",IF(L36="l",0,"("&amp;FIXED(-F36,K37,0)&amp;M36))</f>
        <v/>
      </c>
      <c r="H36" s="183"/>
      <c r="I36" s="185"/>
      <c r="L36" t="str">
        <f t="shared" ca="1" si="6"/>
        <v>b</v>
      </c>
      <c r="M36" t="str">
        <f>")"&amp;REPT(" ",2-K37)&amp;IF(K37=0," ","")</f>
        <v xml:space="preserve">)   </v>
      </c>
      <c r="O36" s="194"/>
      <c r="P36" s="207">
        <f>D36</f>
        <v>0</v>
      </c>
      <c r="Q36" s="207">
        <f t="shared" si="7"/>
        <v>0</v>
      </c>
      <c r="R36" s="300" t="str">
        <f t="shared" ca="1" si="8"/>
        <v/>
      </c>
      <c r="S36" s="304"/>
      <c r="T36" s="144"/>
      <c r="U36" s="206">
        <f ca="1">IF(OR(AC$8=0,SUM(Z37:AC37)=0),1,IF(L36="l","",SUM(AB37:AC37)))</f>
        <v>1</v>
      </c>
      <c r="V36" s="385"/>
      <c r="W36" s="50"/>
      <c r="Z36"/>
    </row>
    <row r="37" spans="3:29" ht="15" customHeight="1" x14ac:dyDescent="0.15">
      <c r="C37" s="186"/>
      <c r="D37" s="205"/>
      <c r="E37" s="188"/>
      <c r="F37" s="226"/>
      <c r="G37" s="296" t="str">
        <f ca="1">IF(L37="b","",IF(L37="l",0,FIXED(F37,K37,0)&amp;M37))</f>
        <v/>
      </c>
      <c r="H37" s="187"/>
      <c r="I37" s="189"/>
      <c r="K37" s="215"/>
      <c r="L37" t="str">
        <f t="shared" ca="1" si="6"/>
        <v>b</v>
      </c>
      <c r="M37" t="str">
        <f>REPT(" ",3-K37)&amp;IF(K37=0," ","")</f>
        <v xml:space="preserve">    </v>
      </c>
      <c r="O37" s="194"/>
      <c r="P37" s="208">
        <f>IF(ISNUMBER(D37),LOOKUP(D37,$AB$5:$AC$7),D37)</f>
        <v>0</v>
      </c>
      <c r="Q37" s="208">
        <f t="shared" si="7"/>
        <v>0</v>
      </c>
      <c r="R37" s="301" t="str">
        <f t="shared" ca="1" si="8"/>
        <v/>
      </c>
      <c r="S37" s="305">
        <f>H37</f>
        <v>0</v>
      </c>
      <c r="T37" s="145"/>
      <c r="U37" s="216">
        <f ca="1">IF(L37="l","",IF(D37+F37&gt;0,SUM(Z37:AA37),-1))</f>
        <v>-1</v>
      </c>
      <c r="V37" s="386"/>
      <c r="W37" s="107"/>
      <c r="Z37" s="114">
        <f>IF(D37&gt;0,0,TRUNC(F37*T37+Y37*X37))</f>
        <v>0</v>
      </c>
      <c r="AA37" t="b">
        <f>IF($D37=1,SUM(Z$13:Z35)-SUM(AA$13:AA35),IF($D37=2,$AA$6,IF($D37=3,TRUNC($AA$6,-3))))</f>
        <v>0</v>
      </c>
      <c r="AB37">
        <f ca="1">IF(OR(AC$8=0,L36="l",D37&gt;0,U37=-1),0,IF(L36="b",-U37,TRUNC(F36*T37)))</f>
        <v>0</v>
      </c>
      <c r="AC37" t="b">
        <f>IF($D37=1,SUM(AB$13:AB35)-SUM(AC$13:AC35),IF($D37=2,$AA$5,IF($D37=3,TRUNC($AA$5,-3))))</f>
        <v>0</v>
      </c>
    </row>
    <row r="38" spans="3:29" ht="15" customHeight="1" x14ac:dyDescent="0.15">
      <c r="C38" s="182"/>
      <c r="D38" s="210"/>
      <c r="E38" s="184"/>
      <c r="F38" s="227"/>
      <c r="G38" s="297" t="str">
        <f ca="1">IF(OR(AC$8=0,L38="b"),"",IF(L38="l",0,"("&amp;FIXED(-F38,K39,0)&amp;M38))</f>
        <v/>
      </c>
      <c r="H38" s="183"/>
      <c r="I38" s="185"/>
      <c r="L38" t="str">
        <f t="shared" ca="1" si="0"/>
        <v>b</v>
      </c>
      <c r="M38" t="str">
        <f>")"&amp;REPT(" ",2-K39)&amp;IF(K39=0," ","")</f>
        <v xml:space="preserve">)   </v>
      </c>
      <c r="O38" s="194"/>
      <c r="P38" s="207">
        <f>D38</f>
        <v>0</v>
      </c>
      <c r="Q38" s="207">
        <f t="shared" si="2"/>
        <v>0</v>
      </c>
      <c r="R38" s="300" t="str">
        <f t="shared" ca="1" si="1"/>
        <v/>
      </c>
      <c r="S38" s="304"/>
      <c r="T38" s="144"/>
      <c r="U38" s="206">
        <f ca="1">IF(OR(AC$8=0,SUM(Z39:AC39)=0),1,IF(L38="l","",SUM(AB39:AC39)))</f>
        <v>1</v>
      </c>
      <c r="V38" s="385"/>
      <c r="W38" s="50" t="str">
        <f ca="1">IF(OR(AC$8=0,SUM(Z39:AC39)=0),"",CONCATENATE("(",FIXED(-#REF!,0),")"))</f>
        <v/>
      </c>
      <c r="Z38"/>
    </row>
    <row r="39" spans="3:29" ht="15" customHeight="1" x14ac:dyDescent="0.15">
      <c r="C39" s="186"/>
      <c r="D39" s="205"/>
      <c r="E39" s="188"/>
      <c r="F39" s="226"/>
      <c r="G39" s="296" t="str">
        <f ca="1">IF(L39="b","",IF(L39="l",0,FIXED(F39,K39,0)&amp;M39))</f>
        <v/>
      </c>
      <c r="H39" s="187"/>
      <c r="I39" s="189"/>
      <c r="K39" s="215"/>
      <c r="L39" t="str">
        <f t="shared" ca="1" si="0"/>
        <v>b</v>
      </c>
      <c r="M39" t="str">
        <f>REPT(" ",3-K39)&amp;IF(K39=0," ","")</f>
        <v xml:space="preserve">    </v>
      </c>
      <c r="O39" s="194"/>
      <c r="P39" s="208">
        <f>IF(ISNUMBER(D39),LOOKUP(D39,$AB$5:$AC$7),D39)</f>
        <v>0</v>
      </c>
      <c r="Q39" s="208">
        <f t="shared" si="2"/>
        <v>0</v>
      </c>
      <c r="R39" s="301" t="str">
        <f t="shared" ca="1" si="1"/>
        <v/>
      </c>
      <c r="S39" s="305">
        <f>H39</f>
        <v>0</v>
      </c>
      <c r="T39" s="145"/>
      <c r="U39" s="216">
        <f ca="1">IF(L39="l","",IF(D39+F39&gt;0,SUM(Z39:AA39),-1))</f>
        <v>-1</v>
      </c>
      <c r="V39" s="386"/>
      <c r="W39" s="107"/>
      <c r="Y39" s="114"/>
      <c r="Z39" s="114">
        <f>IF(D39&gt;0,0,TRUNC(F39*T39+Y39*X39))</f>
        <v>0</v>
      </c>
      <c r="AA39" t="b">
        <f>IF($D39=1,SUM(Z$13:Z37)-SUM(AA$13:AA37),IF($D39=2,$AA$6,IF($D39=3,TRUNC($AA$6,-3))))</f>
        <v>0</v>
      </c>
      <c r="AB39">
        <f ca="1">IF(OR(AC$8=0,L38="l",D39&gt;0,U39=-1),0,IF(L38="b",-U39,TRUNC(F38*T39)))</f>
        <v>0</v>
      </c>
      <c r="AC39" t="b">
        <f>IF($D39=1,SUM(AB$13:AB37)-SUM(AC$13:AC37),IF($D39=2,$AA$5,IF($D39=3,TRUNC($AA$5,-3))))</f>
        <v>0</v>
      </c>
    </row>
    <row r="40" spans="3:29" ht="15" customHeight="1" x14ac:dyDescent="0.15">
      <c r="C40" s="182"/>
      <c r="D40" s="210"/>
      <c r="E40" s="184"/>
      <c r="F40" s="227"/>
      <c r="G40" s="297" t="str">
        <f ca="1">IF(OR(AC$8=0,L40="b"),"",IF(L40="l",0,"("&amp;FIXED(-F40,K41,0)&amp;M40))</f>
        <v/>
      </c>
      <c r="H40" s="183"/>
      <c r="I40" s="185"/>
      <c r="L40" t="str">
        <f t="shared" ca="1" si="0"/>
        <v>b</v>
      </c>
      <c r="M40" t="str">
        <f>")"&amp;REPT(" ",2-K41)&amp;IF(K41=0," ","")</f>
        <v xml:space="preserve">)   </v>
      </c>
      <c r="O40" s="194"/>
      <c r="P40" s="207">
        <f>D40</f>
        <v>0</v>
      </c>
      <c r="Q40" s="207">
        <f t="shared" si="2"/>
        <v>0</v>
      </c>
      <c r="R40" s="300" t="str">
        <f t="shared" ca="1" si="1"/>
        <v/>
      </c>
      <c r="S40" s="304"/>
      <c r="T40" s="144"/>
      <c r="U40" s="206">
        <f ca="1">IF(OR(AC$8=0,SUM(Z41:AC41)=0),1,IF(L40="l","",SUM(AB41:AC41)))</f>
        <v>1</v>
      </c>
      <c r="V40" s="385"/>
      <c r="W40" s="50" t="str">
        <f ca="1">IF(OR(AC$8=0,SUM(Z41:AC41)=0),"",CONCATENATE("(",FIXED(-#REF!,0),")"))</f>
        <v/>
      </c>
      <c r="Z40"/>
    </row>
    <row r="41" spans="3:29" ht="15" customHeight="1" x14ac:dyDescent="0.15">
      <c r="C41" s="186"/>
      <c r="D41" s="205"/>
      <c r="E41" s="188"/>
      <c r="F41" s="226"/>
      <c r="G41" s="296" t="str">
        <f ca="1">IF(L41="b","",IF(L41="l",0,FIXED(F41,K41,0)&amp;M41))</f>
        <v/>
      </c>
      <c r="H41" s="187"/>
      <c r="I41" s="189"/>
      <c r="K41" s="215"/>
      <c r="L41" t="str">
        <f t="shared" ca="1" si="0"/>
        <v>b</v>
      </c>
      <c r="M41" t="str">
        <f>REPT(" ",3-K41)&amp;IF(K41=0," ","")</f>
        <v xml:space="preserve">    </v>
      </c>
      <c r="O41" s="194"/>
      <c r="P41" s="208">
        <f>IF(ISNUMBER(D41),LOOKUP(D41,$AB$5:$AC$7),D41)</f>
        <v>0</v>
      </c>
      <c r="Q41" s="208">
        <f t="shared" si="2"/>
        <v>0</v>
      </c>
      <c r="R41" s="301" t="str">
        <f t="shared" ca="1" si="1"/>
        <v/>
      </c>
      <c r="S41" s="305">
        <f>H41</f>
        <v>0</v>
      </c>
      <c r="T41" s="145"/>
      <c r="U41" s="216">
        <f ca="1">IF(L41="l","",IF(D41+F41&gt;0,SUM(Z41:AA41),-1))</f>
        <v>-1</v>
      </c>
      <c r="V41" s="386"/>
      <c r="W41" s="107"/>
      <c r="Y41" s="114"/>
      <c r="Z41" s="114">
        <f>IF(D41&gt;0,0,TRUNC(F41*T41+Y41*X41))</f>
        <v>0</v>
      </c>
      <c r="AA41" t="b">
        <f>IF($D41=1,SUM(Z$13:Z39)-SUM(AA$13:AA39),IF($D41=2,$AA$6,IF($D41=3,TRUNC($AA$6,-3))))</f>
        <v>0</v>
      </c>
      <c r="AB41">
        <f ca="1">IF(OR(AC$8=0,L40="l",D41&gt;0,U41=-1),0,IF(L40="b",-U41,TRUNC(F40*T41)))</f>
        <v>0</v>
      </c>
      <c r="AC41" t="b">
        <f>IF($D41=1,SUM(AB$13:AB39)-SUM(AC$13:AC39),IF($D41=2,$AA$5,IF($D41=3,TRUNC($AA$5,-3))))</f>
        <v>0</v>
      </c>
    </row>
    <row r="42" spans="3:29" ht="15" customHeight="1" x14ac:dyDescent="0.15">
      <c r="C42" s="182"/>
      <c r="D42" s="210"/>
      <c r="E42" s="184"/>
      <c r="F42" s="227"/>
      <c r="G42" s="297" t="str">
        <f ca="1">IF(OR(AC$8=0,L42="b"),"",IF(L42="l",0,"("&amp;FIXED(-F42,K43,0)&amp;M42))</f>
        <v/>
      </c>
      <c r="H42" s="183"/>
      <c r="I42" s="185"/>
      <c r="L42" t="str">
        <f t="shared" ca="1" si="0"/>
        <v>b</v>
      </c>
      <c r="M42" t="str">
        <f>")"&amp;REPT(" ",2-K43)&amp;IF(K43=0," ","")</f>
        <v xml:space="preserve">)   </v>
      </c>
      <c r="O42" s="194"/>
      <c r="P42" s="207">
        <f>D42</f>
        <v>0</v>
      </c>
      <c r="Q42" s="207">
        <f t="shared" si="2"/>
        <v>0</v>
      </c>
      <c r="R42" s="300" t="str">
        <f t="shared" ca="1" si="1"/>
        <v/>
      </c>
      <c r="S42" s="304"/>
      <c r="T42" s="369"/>
      <c r="U42" s="206">
        <f ca="1">IF(OR(AC$8=0,SUM(Z43:AC43)=0),1,IF(L42="l","",SUM(AB43:AC43)))</f>
        <v>1</v>
      </c>
      <c r="V42" s="387"/>
      <c r="W42" s="50"/>
      <c r="Z42"/>
    </row>
    <row r="43" spans="3:29" ht="15" customHeight="1" x14ac:dyDescent="0.15">
      <c r="C43" s="186"/>
      <c r="D43" s="205"/>
      <c r="E43" s="188"/>
      <c r="F43" s="226"/>
      <c r="G43" s="296" t="str">
        <f ca="1">IF(L43="b","",IF(L43="l",0,FIXED(F43,K43,0)&amp;M43))</f>
        <v/>
      </c>
      <c r="H43" s="187"/>
      <c r="I43" s="189"/>
      <c r="K43" s="215"/>
      <c r="L43" t="str">
        <f t="shared" ca="1" si="0"/>
        <v>b</v>
      </c>
      <c r="M43" t="str">
        <f>REPT(" ",3-K43)&amp;IF(K43=0," ","")</f>
        <v xml:space="preserve">    </v>
      </c>
      <c r="O43" s="194"/>
      <c r="P43" s="208">
        <f>IF(ISNUMBER(D43),LOOKUP(D43,$AB$5:$AC$7),D43)</f>
        <v>0</v>
      </c>
      <c r="Q43" s="208">
        <f t="shared" si="2"/>
        <v>0</v>
      </c>
      <c r="R43" s="301" t="str">
        <f t="shared" ca="1" si="1"/>
        <v/>
      </c>
      <c r="S43" s="305">
        <f>H43</f>
        <v>0</v>
      </c>
      <c r="T43" s="370"/>
      <c r="U43" s="216">
        <f ca="1">IF(L43="l","",IF(D43+F43&gt;0,SUM(Z43:AA43),-1))</f>
        <v>-1</v>
      </c>
      <c r="V43" s="388"/>
      <c r="W43" s="107"/>
      <c r="Z43" s="114">
        <f>IF(D43&gt;0,0,TRUNC(F43*T43+Y43*X43))</f>
        <v>0</v>
      </c>
      <c r="AA43" t="b">
        <f>IF($D43=1,SUM(Z$13:Z41)-SUM(AA$13:AA41),IF($D43=2,$AA$6,IF($D43=3,TRUNC($AA$6,-3))))</f>
        <v>0</v>
      </c>
      <c r="AB43">
        <f ca="1">IF(OR(AC$8=0,L42="l",D43&gt;0,U43=-1),0,IF(L42="b",-U43,TRUNC(F42*T43)))</f>
        <v>0</v>
      </c>
      <c r="AC43" t="b">
        <f>IF($D43=1,SUM(AB$13:AB41)-SUM(AC$13:AC41),IF($D43=2,$AA$5,IF($D43=3,TRUNC($AA$5,-3))))</f>
        <v>0</v>
      </c>
    </row>
    <row r="44" spans="3:29" ht="15" customHeight="1" x14ac:dyDescent="0.15">
      <c r="C44" s="182"/>
      <c r="D44" s="210"/>
      <c r="E44" s="184"/>
      <c r="F44" s="227"/>
      <c r="G44" s="297" t="str">
        <f ca="1">IF(OR(AC$8=0,L44="b"),"",IF(L44="l",0,"("&amp;FIXED(-F44,K45,0)&amp;M44))</f>
        <v/>
      </c>
      <c r="H44" s="183"/>
      <c r="I44" s="185"/>
      <c r="L44" t="str">
        <f t="shared" ca="1" si="0"/>
        <v>b</v>
      </c>
      <c r="M44" t="str">
        <f>")"&amp;REPT(" ",2-K45)&amp;IF(K45=0," ","")</f>
        <v xml:space="preserve">)   </v>
      </c>
      <c r="O44" s="194"/>
      <c r="P44" s="207">
        <f>D44</f>
        <v>0</v>
      </c>
      <c r="Q44" s="207">
        <f t="shared" si="2"/>
        <v>0</v>
      </c>
      <c r="R44" s="300" t="str">
        <f t="shared" ca="1" si="1"/>
        <v/>
      </c>
      <c r="S44" s="304"/>
      <c r="T44" s="369"/>
      <c r="U44" s="206">
        <f ca="1">IF(OR(AC$8=0,SUM(Z45:AC45)=0),1,IF(L44="l","",SUM(AB45:AC45)))</f>
        <v>1</v>
      </c>
      <c r="V44" s="387"/>
      <c r="W44" s="50"/>
      <c r="Z44"/>
    </row>
    <row r="45" spans="3:29" ht="15" customHeight="1" x14ac:dyDescent="0.15">
      <c r="C45" s="186"/>
      <c r="D45" s="205"/>
      <c r="E45" s="188"/>
      <c r="F45" s="226"/>
      <c r="G45" s="296" t="str">
        <f ca="1">IF(L45="b","",IF(L45="l",0,FIXED(F45,K45,0)&amp;M45))</f>
        <v/>
      </c>
      <c r="H45" s="187"/>
      <c r="I45" s="189"/>
      <c r="K45" s="215"/>
      <c r="L45" t="str">
        <f t="shared" ca="1" si="0"/>
        <v>b</v>
      </c>
      <c r="M45" t="str">
        <f>REPT(" ",3-K45)&amp;IF(K45=0," ","")</f>
        <v xml:space="preserve">    </v>
      </c>
      <c r="O45" s="194"/>
      <c r="P45" s="208">
        <f>IF(ISNUMBER(D45),LOOKUP(D45,$AB$5:$AC$7),D45)</f>
        <v>0</v>
      </c>
      <c r="Q45" s="208">
        <f t="shared" si="2"/>
        <v>0</v>
      </c>
      <c r="R45" s="301" t="str">
        <f t="shared" ca="1" si="1"/>
        <v/>
      </c>
      <c r="S45" s="305">
        <f>H45</f>
        <v>0</v>
      </c>
      <c r="T45" s="370"/>
      <c r="U45" s="216">
        <f ca="1">IF(L45="l","",IF(D45+F45&gt;0,SUM(Z45:AA45),-1))</f>
        <v>-1</v>
      </c>
      <c r="V45" s="388"/>
      <c r="W45" s="107"/>
      <c r="Z45" s="114">
        <f>IF(D45&gt;0,0,TRUNC(F45*T45+Y45*X45))</f>
        <v>0</v>
      </c>
      <c r="AA45" t="b">
        <f>IF($D45=1,SUM(Z$13:Z43)-SUM(AA$13:AA43),IF($D45=2,$AA$6,IF($D45=3,TRUNC($AA$6,-3))))</f>
        <v>0</v>
      </c>
      <c r="AB45">
        <f ca="1">IF(OR(AC$8=0,L44="l",D45&gt;0,U45=-1),0,IF(L44="b",-U45,TRUNC(F44*T45)))</f>
        <v>0</v>
      </c>
      <c r="AC45" t="b">
        <f>IF($D45=1,SUM(AB$13:AB43)-SUM(AC$13:AC43),IF($D45=2,$AA$5,IF($D45=3,TRUNC($AA$5,-3))))</f>
        <v>0</v>
      </c>
    </row>
    <row r="46" spans="3:29" ht="15" customHeight="1" x14ac:dyDescent="0.15">
      <c r="C46" s="182"/>
      <c r="D46" s="210"/>
      <c r="E46" s="184"/>
      <c r="F46" s="227"/>
      <c r="G46" s="297" t="str">
        <f ca="1">IF(OR(AC$8=0,L46="b"),"",IF(L46="l",0,"("&amp;FIXED(-F46,K47,0)&amp;M46))</f>
        <v/>
      </c>
      <c r="H46" s="183"/>
      <c r="I46" s="185"/>
      <c r="L46" t="str">
        <f t="shared" ca="1" si="0"/>
        <v>b</v>
      </c>
      <c r="M46" t="str">
        <f>")"&amp;REPT(" ",2-K47)&amp;IF(K47=0," ","")</f>
        <v xml:space="preserve">)   </v>
      </c>
      <c r="O46" s="194"/>
      <c r="P46" s="207">
        <f>D46</f>
        <v>0</v>
      </c>
      <c r="Q46" s="207">
        <f t="shared" si="2"/>
        <v>0</v>
      </c>
      <c r="R46" s="300" t="str">
        <f t="shared" ca="1" si="1"/>
        <v/>
      </c>
      <c r="S46" s="304"/>
      <c r="T46" s="369"/>
      <c r="U46" s="206">
        <f ca="1">IF(OR(AC$8=0,SUM(Z47:AC47)=0),1,IF(L46="l","",SUM(AB47:AC47)))</f>
        <v>1</v>
      </c>
      <c r="V46" s="387"/>
      <c r="W46" s="50"/>
      <c r="Z46"/>
    </row>
    <row r="47" spans="3:29" ht="15" customHeight="1" x14ac:dyDescent="0.15">
      <c r="C47" s="186"/>
      <c r="D47" s="205"/>
      <c r="E47" s="188"/>
      <c r="F47" s="226"/>
      <c r="G47" s="296" t="str">
        <f ca="1">IF(L47="b","",IF(L47="l",0,FIXED(F47,K47,0)&amp;M47))</f>
        <v/>
      </c>
      <c r="H47" s="187"/>
      <c r="I47" s="189"/>
      <c r="K47" s="215"/>
      <c r="L47" t="str">
        <f t="shared" ca="1" si="0"/>
        <v>b</v>
      </c>
      <c r="M47" t="str">
        <f>REPT(" ",3-K47)&amp;IF(K47=0," ","")</f>
        <v xml:space="preserve">    </v>
      </c>
      <c r="O47" s="194"/>
      <c r="P47" s="208">
        <f>IF(ISNUMBER(D47),LOOKUP(D47,$AB$5:$AC$7),D47)</f>
        <v>0</v>
      </c>
      <c r="Q47" s="208">
        <f t="shared" si="2"/>
        <v>0</v>
      </c>
      <c r="R47" s="301" t="str">
        <f t="shared" ca="1" si="1"/>
        <v/>
      </c>
      <c r="S47" s="305">
        <f>H47</f>
        <v>0</v>
      </c>
      <c r="T47" s="370"/>
      <c r="U47" s="216">
        <f ca="1">IF(L47="l","",IF(D47+F47&gt;0,SUM(Z47:AA47),-1))</f>
        <v>-1</v>
      </c>
      <c r="V47" s="388"/>
      <c r="W47" s="107"/>
      <c r="Z47" s="114">
        <f>IF(D47&gt;0,0,TRUNC(F47*T47+Y47*X47))</f>
        <v>0</v>
      </c>
      <c r="AA47" t="b">
        <f>IF($D47=1,SUM(Z$13:Z45)-SUM(AA$13:AA45),IF($D47=2,$AA$6,IF($D47=3,TRUNC($AA$6,-3))))</f>
        <v>0</v>
      </c>
      <c r="AB47">
        <f ca="1">IF(OR(AC$8=0,L46="l",D47&gt;0,U47=-1),0,IF(L46="b",-U47,TRUNC(F46*T47)))</f>
        <v>0</v>
      </c>
      <c r="AC47" t="b">
        <f>IF($D47=1,SUM(AB$13:AB45)-SUM(AC$13:AC45),IF($D47=2,$AA$5,IF($D47=3,TRUNC($AA$5,-3))))</f>
        <v>0</v>
      </c>
    </row>
    <row r="48" spans="3:29" ht="15" customHeight="1" x14ac:dyDescent="0.15">
      <c r="C48" s="182"/>
      <c r="D48" s="210"/>
      <c r="E48" s="184"/>
      <c r="F48" s="227"/>
      <c r="G48" s="297" t="str">
        <f ca="1">IF(OR(AC$8=0,L48="b"),"",IF(L48="l",0,"("&amp;FIXED(-F48,K49,0)&amp;M48))</f>
        <v/>
      </c>
      <c r="H48" s="183"/>
      <c r="I48" s="185"/>
      <c r="L48" t="str">
        <f t="shared" ca="1" si="0"/>
        <v>b</v>
      </c>
      <c r="M48" t="str">
        <f>")"&amp;REPT(" ",2-K49)&amp;IF(K49=0," ","")</f>
        <v xml:space="preserve">)   </v>
      </c>
      <c r="O48" s="194"/>
      <c r="P48" s="207">
        <f>D48</f>
        <v>0</v>
      </c>
      <c r="Q48" s="207">
        <f t="shared" si="2"/>
        <v>0</v>
      </c>
      <c r="R48" s="300" t="str">
        <f t="shared" ca="1" si="1"/>
        <v/>
      </c>
      <c r="S48" s="304"/>
      <c r="T48" s="369"/>
      <c r="U48" s="206">
        <f ca="1">IF(OR(AC$8=0,SUM(Z49:AC49)=0),1,IF(L48="l","",SUM(AB49:AC49)))</f>
        <v>1</v>
      </c>
      <c r="V48" s="387"/>
      <c r="W48" s="50"/>
      <c r="Z48"/>
    </row>
    <row r="49" spans="3:29" ht="15" customHeight="1" x14ac:dyDescent="0.15">
      <c r="C49" s="186"/>
      <c r="D49" s="205"/>
      <c r="E49" s="188"/>
      <c r="F49" s="226"/>
      <c r="G49" s="296" t="str">
        <f ca="1">IF(L49="b","",IF(L49="l",0,FIXED(F49,K49,0)&amp;M49))</f>
        <v/>
      </c>
      <c r="H49" s="187"/>
      <c r="I49" s="189"/>
      <c r="K49" s="215"/>
      <c r="L49" t="str">
        <f t="shared" ca="1" si="0"/>
        <v>b</v>
      </c>
      <c r="M49" t="str">
        <f>REPT(" ",3-K49)&amp;IF(K49=0," ","")</f>
        <v xml:space="preserve">    </v>
      </c>
      <c r="O49" s="194"/>
      <c r="P49" s="208">
        <f>IF(ISNUMBER(D49),LOOKUP(D49,$AB$5:$AC$7),D49)</f>
        <v>0</v>
      </c>
      <c r="Q49" s="208">
        <f t="shared" si="2"/>
        <v>0</v>
      </c>
      <c r="R49" s="301" t="str">
        <f t="shared" ca="1" si="1"/>
        <v/>
      </c>
      <c r="S49" s="305">
        <f>H49</f>
        <v>0</v>
      </c>
      <c r="T49" s="370"/>
      <c r="U49" s="216">
        <f ca="1">IF(L49="l","",IF(D49+F49&gt;0,SUM(Z49:AA49),-1))</f>
        <v>-1</v>
      </c>
      <c r="V49" s="388"/>
      <c r="W49" s="107"/>
      <c r="Z49" s="114">
        <f>IF(D49&gt;0,0,TRUNC(F49*T49+Y49*X49))</f>
        <v>0</v>
      </c>
      <c r="AA49" t="b">
        <f>IF($D49=1,SUM(Z$13:Z47)-SUM(AA$13:AA47),IF($D49=2,$AA$6,IF($D49=3,TRUNC($AA$6,-3))))</f>
        <v>0</v>
      </c>
      <c r="AB49">
        <f ca="1">IF(OR(AC$8=0,L48="l",D49&gt;0,U49=-1),0,IF(L48="b",-U49,TRUNC(F48*T49)))</f>
        <v>0</v>
      </c>
      <c r="AC49" t="b">
        <f>IF($D49=1,SUM(AB$13:AB47)-SUM(AC$13:AC47),IF($D49=2,$AA$5,IF($D49=3,TRUNC($AA$5,-3))))</f>
        <v>0</v>
      </c>
    </row>
    <row r="50" spans="3:29" ht="15" customHeight="1" x14ac:dyDescent="0.15">
      <c r="C50" s="182"/>
      <c r="D50" s="210"/>
      <c r="E50" s="184"/>
      <c r="F50" s="227"/>
      <c r="G50" s="297" t="str">
        <f ca="1">IF(OR(AC$8=0,L50="b"),"",IF(L50="l",0,"("&amp;FIXED(-F50,K51,0)&amp;M50))</f>
        <v/>
      </c>
      <c r="H50" s="183"/>
      <c r="I50" s="185"/>
      <c r="L50" t="str">
        <f t="shared" ca="1" si="0"/>
        <v>b</v>
      </c>
      <c r="M50" t="str">
        <f>")"&amp;REPT(" ",2-K51)&amp;IF(K51=0," ","")</f>
        <v xml:space="preserve">)   </v>
      </c>
      <c r="O50" s="194"/>
      <c r="P50" s="207">
        <f>D50</f>
        <v>0</v>
      </c>
      <c r="Q50" s="207">
        <f t="shared" si="2"/>
        <v>0</v>
      </c>
      <c r="R50" s="300" t="str">
        <f t="shared" ca="1" si="1"/>
        <v/>
      </c>
      <c r="S50" s="304"/>
      <c r="T50" s="144"/>
      <c r="U50" s="206">
        <f ca="1">IF(OR(AC$8=0,SUM(Z51:AC51)=0),1,IF(L50="l","",SUM(AB51:AC51)))</f>
        <v>1</v>
      </c>
      <c r="V50" s="385"/>
      <c r="W50" s="50"/>
      <c r="Z50"/>
    </row>
    <row r="51" spans="3:29" ht="15" customHeight="1" x14ac:dyDescent="0.15">
      <c r="C51" s="186"/>
      <c r="D51" s="205"/>
      <c r="E51" s="188"/>
      <c r="F51" s="226"/>
      <c r="G51" s="296" t="str">
        <f ca="1">IF(L51="b","",IF(L51="l",0,FIXED(F51,K51,0)&amp;M51))</f>
        <v/>
      </c>
      <c r="H51" s="187"/>
      <c r="I51" s="189"/>
      <c r="K51" s="215"/>
      <c r="L51" t="str">
        <f t="shared" ca="1" si="0"/>
        <v>b</v>
      </c>
      <c r="M51" t="str">
        <f>REPT(" ",3-K51)&amp;IF(K51=0," ","")</f>
        <v xml:space="preserve">    </v>
      </c>
      <c r="O51" s="194"/>
      <c r="P51" s="208">
        <f>IF(ISNUMBER(D51),LOOKUP(D51,$AB$5:$AC$7),D51)</f>
        <v>0</v>
      </c>
      <c r="Q51" s="208">
        <f t="shared" si="2"/>
        <v>0</v>
      </c>
      <c r="R51" s="301" t="str">
        <f t="shared" ca="1" si="1"/>
        <v/>
      </c>
      <c r="S51" s="305">
        <f>H51</f>
        <v>0</v>
      </c>
      <c r="T51" s="145"/>
      <c r="U51" s="216">
        <f ca="1">IF(L51="l","",IF(D51+F51&gt;0,SUM(Z51:AA51),-1))</f>
        <v>-1</v>
      </c>
      <c r="V51" s="386"/>
      <c r="W51" s="107"/>
      <c r="Z51" s="114">
        <f>IF(D51&gt;0,0,TRUNC(F51*T51+Y51*X51))</f>
        <v>0</v>
      </c>
      <c r="AA51" t="b">
        <f>IF($D51=1,SUM(Z$13:Z49)-SUM(AA$13:AA49),IF($D51=2,$AA$6,IF($D51=3,TRUNC($AA$6,-3))))</f>
        <v>0</v>
      </c>
      <c r="AB51">
        <f ca="1">IF(OR(AC$8=0,L50="l",D51&gt;0,U51=-1),0,IF(L50="b",-U51,TRUNC(F50*T51)))</f>
        <v>0</v>
      </c>
      <c r="AC51" t="b">
        <f>IF($D51=1,SUM(AB$13:AB49)-SUM(AC$13:AC49),IF($D51=2,$AA$5,IF($D51=3,TRUNC($AA$5,-3))))</f>
        <v>0</v>
      </c>
    </row>
    <row r="52" spans="3:29" ht="15" customHeight="1" x14ac:dyDescent="0.15">
      <c r="C52" s="182"/>
      <c r="D52" s="210"/>
      <c r="E52" s="184"/>
      <c r="F52" s="227"/>
      <c r="G52" s="297" t="str">
        <f ca="1">IF(OR(AC$8=0,L52="b"),"",IF(L52="l",0,"("&amp;FIXED(-F52,K53,0)&amp;M52))</f>
        <v/>
      </c>
      <c r="H52" s="183"/>
      <c r="I52" s="185"/>
      <c r="L52" t="str">
        <f t="shared" ca="1" si="0"/>
        <v>b</v>
      </c>
      <c r="M52" t="str">
        <f>")"&amp;REPT(" ",2-K53)&amp;IF(K53=0," ","")</f>
        <v xml:space="preserve">)   </v>
      </c>
      <c r="O52" s="194"/>
      <c r="P52" s="207">
        <f>D52</f>
        <v>0</v>
      </c>
      <c r="Q52" s="207">
        <f t="shared" si="2"/>
        <v>0</v>
      </c>
      <c r="R52" s="300" t="str">
        <f t="shared" ca="1" si="1"/>
        <v/>
      </c>
      <c r="S52" s="304"/>
      <c r="T52" s="144"/>
      <c r="U52" s="206">
        <f ca="1">IF(OR(AC$8=0,SUM(Z53:AC53)=0),1,IF(L52="l","",SUM(AB53:AC53)))</f>
        <v>1</v>
      </c>
      <c r="V52" s="385"/>
      <c r="W52" s="50"/>
      <c r="Z52"/>
    </row>
    <row r="53" spans="3:29" ht="15" customHeight="1" x14ac:dyDescent="0.15">
      <c r="C53" s="186"/>
      <c r="D53" s="205"/>
      <c r="E53" s="188"/>
      <c r="F53" s="226"/>
      <c r="G53" s="296" t="str">
        <f ca="1">IF(L53="b","",IF(L53="l",0,FIXED(F53,K53,0)&amp;M53))</f>
        <v/>
      </c>
      <c r="H53" s="187"/>
      <c r="I53" s="189"/>
      <c r="K53" s="215"/>
      <c r="L53" t="str">
        <f t="shared" ca="1" si="0"/>
        <v>b</v>
      </c>
      <c r="M53" t="str">
        <f>REPT(" ",3-K53)&amp;IF(K53=0," ","")</f>
        <v xml:space="preserve">    </v>
      </c>
      <c r="O53" s="194"/>
      <c r="P53" s="208">
        <f>IF(ISNUMBER(D53),LOOKUP(D53,$AB$5:$AC$7),D53)</f>
        <v>0</v>
      </c>
      <c r="Q53" s="208">
        <f t="shared" si="2"/>
        <v>0</v>
      </c>
      <c r="R53" s="301" t="str">
        <f t="shared" ca="1" si="1"/>
        <v/>
      </c>
      <c r="S53" s="305">
        <f>H53</f>
        <v>0</v>
      </c>
      <c r="T53" s="145"/>
      <c r="U53" s="216">
        <f ca="1">IF(L53="l","",IF(D53+F53&gt;0,SUM(Z53:AA53),-1))</f>
        <v>-1</v>
      </c>
      <c r="V53" s="386"/>
      <c r="W53" s="107"/>
      <c r="Z53" s="114">
        <f>IF(D53&gt;0,0,TRUNC(F53*T53+Y53*X53))</f>
        <v>0</v>
      </c>
      <c r="AA53" t="b">
        <f>IF($D53=1,SUM(Z$13:Z51)-SUM(AA$13:AA51),IF($D53=2,$AA$6,IF($D53=3,TRUNC($AA$6,-3))))</f>
        <v>0</v>
      </c>
      <c r="AB53">
        <f ca="1">IF(OR(AC$8=0,L52="l",D53&gt;0,U53=-1),0,IF(L52="b",-U53,TRUNC(F52*T53)))</f>
        <v>0</v>
      </c>
      <c r="AC53" t="b">
        <f>IF($D53=1,SUM(AB$13:AB51)-SUM(AC$13:AC51),IF($D53=2,$AA$5,IF($D53=3,TRUNC($AA$5,-3))))</f>
        <v>0</v>
      </c>
    </row>
    <row r="54" spans="3:29" ht="15" customHeight="1" x14ac:dyDescent="0.15">
      <c r="C54" s="182"/>
      <c r="D54" s="210"/>
      <c r="E54" s="184"/>
      <c r="F54" s="227"/>
      <c r="G54" s="297" t="str">
        <f ca="1">IF(OR(AC$8=0,L54="b"),"",IF(L54="l",0,"("&amp;FIXED(-F54,K55,0)&amp;M54))</f>
        <v/>
      </c>
      <c r="H54" s="183"/>
      <c r="I54" s="185"/>
      <c r="L54" t="str">
        <f t="shared" ca="1" si="0"/>
        <v>b</v>
      </c>
      <c r="M54" t="str">
        <f>")"&amp;REPT(" ",2-K55)&amp;IF(K55=0," ","")</f>
        <v xml:space="preserve">)   </v>
      </c>
      <c r="O54" s="194"/>
      <c r="P54" s="207">
        <f>D54</f>
        <v>0</v>
      </c>
      <c r="Q54" s="207">
        <f t="shared" si="2"/>
        <v>0</v>
      </c>
      <c r="R54" s="300" t="str">
        <f t="shared" ca="1" si="1"/>
        <v/>
      </c>
      <c r="S54" s="304"/>
      <c r="T54" s="369"/>
      <c r="U54" s="206">
        <f ca="1">IF(OR(AC$8=0,SUM(Z55:AC55)=0),1,IF(L54="l","",SUM(AB55:AC55)))</f>
        <v>1</v>
      </c>
      <c r="V54" s="387"/>
      <c r="W54" s="50"/>
      <c r="Z54"/>
    </row>
    <row r="55" spans="3:29" ht="15" customHeight="1" x14ac:dyDescent="0.15">
      <c r="C55" s="186"/>
      <c r="D55" s="205"/>
      <c r="E55" s="188"/>
      <c r="F55" s="226"/>
      <c r="G55" s="296" t="str">
        <f ca="1">IF(L55="b","",IF(L55="l",0,FIXED(F55,K55,0)&amp;M55))</f>
        <v/>
      </c>
      <c r="H55" s="187"/>
      <c r="I55" s="189"/>
      <c r="K55" s="215"/>
      <c r="L55" t="str">
        <f t="shared" ca="1" si="0"/>
        <v>b</v>
      </c>
      <c r="M55" t="str">
        <f>REPT(" ",3-K55)&amp;IF(K55=0," ","")</f>
        <v xml:space="preserve">    </v>
      </c>
      <c r="O55" s="194"/>
      <c r="P55" s="208">
        <f>IF(ISNUMBER(D55),LOOKUP(D55,$AB$5:$AC$7),D55)</f>
        <v>0</v>
      </c>
      <c r="Q55" s="208">
        <f t="shared" si="2"/>
        <v>0</v>
      </c>
      <c r="R55" s="301" t="str">
        <f t="shared" ca="1" si="1"/>
        <v/>
      </c>
      <c r="S55" s="305">
        <f>H55</f>
        <v>0</v>
      </c>
      <c r="T55" s="370"/>
      <c r="U55" s="216">
        <f ca="1">IF(L55="l","",IF(D55+F55&gt;0,SUM(Z55:AA55),-1))</f>
        <v>-1</v>
      </c>
      <c r="V55" s="472"/>
      <c r="W55" s="107"/>
      <c r="Z55" s="114">
        <f>IF(D55&gt;0,0,TRUNC(F55*T55+Y55*X55))</f>
        <v>0</v>
      </c>
      <c r="AA55" t="b">
        <f>IF($D55=1,SUM(Z$13:Z53)-SUM(AA$13:AA53),IF($D55=2,$AA$6,IF($D55=3,TRUNC($AA$6,-3))))</f>
        <v>0</v>
      </c>
      <c r="AB55">
        <f ca="1">IF(OR(AC$8=0,L54="l",D55&gt;0,U55=-1),0,IF(L54="b",-U55,TRUNC(F54*T55)))</f>
        <v>0</v>
      </c>
      <c r="AC55" t="b">
        <f>IF($D55=1,SUM(AB$13:AB53)-SUM(AC$13:AC53),IF($D55=2,$AA$5,IF($D55=3,TRUNC($AA$5,-3))))</f>
        <v>0</v>
      </c>
    </row>
    <row r="56" spans="3:29" ht="15" customHeight="1" x14ac:dyDescent="0.15">
      <c r="C56" s="182"/>
      <c r="D56" s="210"/>
      <c r="E56" s="184"/>
      <c r="F56" s="227"/>
      <c r="G56" s="297" t="str">
        <f ca="1">IF(OR(AC$8=0,L56="b"),"",IF(L56="l",0,"("&amp;FIXED(-F56,K57,0)&amp;M56))</f>
        <v/>
      </c>
      <c r="H56" s="183"/>
      <c r="I56" s="185"/>
      <c r="L56" t="str">
        <f t="shared" ca="1" si="0"/>
        <v>b</v>
      </c>
      <c r="M56" t="str">
        <f>")"&amp;REPT(" ",2-K57)&amp;IF(K57=0," ","")</f>
        <v xml:space="preserve">)   </v>
      </c>
      <c r="O56" s="194"/>
      <c r="P56" s="207">
        <f>D56</f>
        <v>0</v>
      </c>
      <c r="Q56" s="207">
        <f t="shared" si="2"/>
        <v>0</v>
      </c>
      <c r="R56" s="300" t="str">
        <f t="shared" ca="1" si="1"/>
        <v/>
      </c>
      <c r="S56" s="304"/>
      <c r="T56" s="369"/>
      <c r="U56" s="206">
        <f ca="1">IF(OR(AC$8=0,SUM(Z57:AC57)=0),1,IF(L56="l","",SUM(AB57:AC57)))</f>
        <v>1</v>
      </c>
      <c r="V56" s="387"/>
      <c r="W56" s="50"/>
      <c r="Z56"/>
    </row>
    <row r="57" spans="3:29" ht="15" customHeight="1" x14ac:dyDescent="0.15">
      <c r="C57" s="186"/>
      <c r="D57" s="205"/>
      <c r="E57" s="188"/>
      <c r="F57" s="226"/>
      <c r="G57" s="296" t="str">
        <f ca="1">IF(L57="b","",IF(L57="l",0,FIXED(F57,K57,0)&amp;M57))</f>
        <v/>
      </c>
      <c r="H57" s="187"/>
      <c r="I57" s="189"/>
      <c r="K57" s="215"/>
      <c r="L57" t="str">
        <f t="shared" ca="1" si="0"/>
        <v>b</v>
      </c>
      <c r="M57" t="str">
        <f>REPT(" ",3-K57)&amp;IF(K57=0," ","")</f>
        <v xml:space="preserve">    </v>
      </c>
      <c r="O57" s="194"/>
      <c r="P57" s="208">
        <f>IF(ISNUMBER(D57),LOOKUP(D57,$AB$5:$AC$7),D57)</f>
        <v>0</v>
      </c>
      <c r="Q57" s="208">
        <f t="shared" si="2"/>
        <v>0</v>
      </c>
      <c r="R57" s="301" t="str">
        <f t="shared" ca="1" si="1"/>
        <v/>
      </c>
      <c r="S57" s="305">
        <f>H57</f>
        <v>0</v>
      </c>
      <c r="T57" s="370"/>
      <c r="U57" s="216">
        <f ca="1">IF(L57="l","",IF(D57+F57&gt;0,SUM(Z57:AA57),-1))</f>
        <v>-1</v>
      </c>
      <c r="V57" s="454"/>
      <c r="W57" s="107"/>
      <c r="Z57" s="114">
        <f>IF(D57&gt;0,0,TRUNC(F57*T57+Y57*X57))</f>
        <v>0</v>
      </c>
      <c r="AA57" t="b">
        <f>IF($D57=1,SUM(Z$13:Z55)-SUM(AA$13:AA55),IF($D57=2,$AA$6,IF($D57=3,TRUNC($AA$6,-3))))</f>
        <v>0</v>
      </c>
      <c r="AB57">
        <f ca="1">IF(OR(AC$8=0,L56="l",D57&gt;0,U57=-1),0,IF(L56="b",-U57,TRUNC(F56*T57)))</f>
        <v>0</v>
      </c>
      <c r="AC57" t="b">
        <f>IF($D57=1,SUM(AB$13:AB55)-SUM(AC$13:AC55),IF($D57=2,$AA$5,IF($D57=3,TRUNC($AA$5,-3))))</f>
        <v>0</v>
      </c>
    </row>
    <row r="58" spans="3:29" ht="15" customHeight="1" x14ac:dyDescent="0.15">
      <c r="C58" s="182"/>
      <c r="D58" s="210"/>
      <c r="E58" s="184"/>
      <c r="F58" s="227"/>
      <c r="G58" s="297" t="str">
        <f ca="1">IF(OR(AC$8=0,L58="b"),"",IF(L58="l",0,"("&amp;FIXED(-F58,K59,0)&amp;M58))</f>
        <v/>
      </c>
      <c r="H58" s="183"/>
      <c r="I58" s="185"/>
      <c r="L58" t="str">
        <f t="shared" ca="1" si="0"/>
        <v>b</v>
      </c>
      <c r="M58" t="str">
        <f>")"&amp;REPT(" ",2-K59)&amp;IF(K59=0," ","")</f>
        <v xml:space="preserve">)   </v>
      </c>
      <c r="O58" s="194"/>
      <c r="P58" s="207">
        <f>D58</f>
        <v>0</v>
      </c>
      <c r="Q58" s="207">
        <f t="shared" si="2"/>
        <v>0</v>
      </c>
      <c r="R58" s="300" t="str">
        <f t="shared" ca="1" si="1"/>
        <v/>
      </c>
      <c r="S58" s="304"/>
      <c r="T58" s="369"/>
      <c r="U58" s="206">
        <f ca="1">IF(OR(AC$8=0,SUM(Z59:AC59)=0),1,IF(L58="l","",SUM(AB59:AC59)))</f>
        <v>1</v>
      </c>
      <c r="V58" s="387"/>
      <c r="W58" s="50"/>
      <c r="Z58"/>
    </row>
    <row r="59" spans="3:29" ht="15" customHeight="1" x14ac:dyDescent="0.15">
      <c r="C59" s="186"/>
      <c r="D59" s="205"/>
      <c r="E59" s="188"/>
      <c r="F59" s="226"/>
      <c r="G59" s="296" t="str">
        <f ca="1">IF(L59="b","",IF(L59="l",0,FIXED(F59,K59,0)&amp;M59))</f>
        <v/>
      </c>
      <c r="H59" s="187"/>
      <c r="I59" s="189"/>
      <c r="K59" s="215"/>
      <c r="L59" t="str">
        <f t="shared" ca="1" si="0"/>
        <v>b</v>
      </c>
      <c r="M59" t="str">
        <f>REPT(" ",3-K59)&amp;IF(K59=0," ","")</f>
        <v xml:space="preserve">    </v>
      </c>
      <c r="O59" s="194"/>
      <c r="P59" s="208">
        <f>IF(ISNUMBER(D59),LOOKUP(D59,$AB$5:$AC$7),D59)</f>
        <v>0</v>
      </c>
      <c r="Q59" s="208">
        <f t="shared" si="2"/>
        <v>0</v>
      </c>
      <c r="R59" s="301" t="str">
        <f t="shared" ca="1" si="1"/>
        <v/>
      </c>
      <c r="S59" s="305">
        <f>H59</f>
        <v>0</v>
      </c>
      <c r="T59" s="370"/>
      <c r="U59" s="216">
        <f ca="1">IF(L59="l","",IF(D59+F59&gt;0,SUM(Z59:AA59),-1))</f>
        <v>-1</v>
      </c>
      <c r="V59" s="472"/>
      <c r="W59" s="107"/>
      <c r="Z59" s="114">
        <f>IF(D59&gt;0,0,TRUNC(F59*T59+Y59*X59))</f>
        <v>0</v>
      </c>
      <c r="AA59" t="b">
        <f>IF($D59=1,SUM(Z$13:Z57)-SUM(AA$13:AA57),IF($D59=2,$AA$6,IF($D59=3,TRUNC($AA$6,-3))))</f>
        <v>0</v>
      </c>
      <c r="AB59">
        <f ca="1">IF(OR(AC$8=0,L58="l",D59&gt;0,U59=-1),0,IF(L58="b",-U59,TRUNC(F58*T59)))</f>
        <v>0</v>
      </c>
      <c r="AC59" t="b">
        <f>IF($D59=1,SUM(AB$13:AB57)-SUM(AC$13:AC57),IF($D59=2,$AA$5,IF($D59=3,TRUNC($AA$5,-3))))</f>
        <v>0</v>
      </c>
    </row>
    <row r="60" spans="3:29" ht="15" customHeight="1" x14ac:dyDescent="0.15">
      <c r="C60" s="182"/>
      <c r="D60" s="210"/>
      <c r="E60" s="184"/>
      <c r="F60" s="227"/>
      <c r="G60" s="297" t="str">
        <f ca="1">IF(OR(AC$8=0,L60="b"),"",IF(L60="l",0,"("&amp;FIXED(-F60,K61,0)&amp;M60))</f>
        <v/>
      </c>
      <c r="H60" s="183"/>
      <c r="I60" s="185"/>
      <c r="L60" t="str">
        <f t="shared" ca="1" si="0"/>
        <v>b</v>
      </c>
      <c r="M60" t="str">
        <f>")"&amp;REPT(" ",2-K61)&amp;IF(K61=0," ","")</f>
        <v xml:space="preserve">)   </v>
      </c>
      <c r="O60" s="194"/>
      <c r="P60" s="207">
        <f>D60</f>
        <v>0</v>
      </c>
      <c r="Q60" s="207">
        <f t="shared" si="2"/>
        <v>0</v>
      </c>
      <c r="R60" s="300" t="str">
        <f t="shared" ca="1" si="1"/>
        <v/>
      </c>
      <c r="S60" s="304"/>
      <c r="T60" s="369"/>
      <c r="U60" s="206">
        <f ca="1">IF(OR(AC$8=0,SUM(Z61:AC61)=0),1,IF(L60="l","",SUM(AB61:AC61)))</f>
        <v>1</v>
      </c>
      <c r="V60" s="387"/>
      <c r="W60" s="50"/>
      <c r="Z60"/>
    </row>
    <row r="61" spans="3:29" ht="15" customHeight="1" x14ac:dyDescent="0.15">
      <c r="C61" s="186"/>
      <c r="D61" s="205"/>
      <c r="E61" s="188"/>
      <c r="F61" s="226"/>
      <c r="G61" s="296" t="str">
        <f ca="1">IF(L61="b","",IF(L61="l",0,FIXED(F61,K61,0)&amp;M61))</f>
        <v/>
      </c>
      <c r="H61" s="187"/>
      <c r="I61" s="189"/>
      <c r="K61" s="215"/>
      <c r="L61" t="str">
        <f t="shared" ca="1" si="0"/>
        <v>b</v>
      </c>
      <c r="M61" t="str">
        <f>REPT(" ",3-K61)&amp;IF(K61=0," ","")</f>
        <v xml:space="preserve">    </v>
      </c>
      <c r="O61" s="194"/>
      <c r="P61" s="208">
        <f>IF(ISNUMBER(D61),LOOKUP(D61,$AB$5:$AC$7),D61)</f>
        <v>0</v>
      </c>
      <c r="Q61" s="208">
        <f t="shared" si="2"/>
        <v>0</v>
      </c>
      <c r="R61" s="301" t="str">
        <f t="shared" ca="1" si="1"/>
        <v/>
      </c>
      <c r="S61" s="305">
        <f>H61</f>
        <v>0</v>
      </c>
      <c r="T61" s="370"/>
      <c r="U61" s="216">
        <f ca="1">IF(L61="l","",IF(D61+F61&gt;0,SUM(Z61:AA61),-1))</f>
        <v>-1</v>
      </c>
      <c r="V61" s="494"/>
      <c r="W61" s="107"/>
      <c r="Z61" s="114">
        <f>IF(D61&gt;0,0,TRUNC(F61*T61+Y61*X61))</f>
        <v>0</v>
      </c>
      <c r="AA61" t="b">
        <f>IF($D61=1,SUM(Z$13:Z59)-SUM(AA$13:AA59),IF($D61=2,$AA$6,IF($D61=3,TRUNC($AA$6,-3))))</f>
        <v>0</v>
      </c>
      <c r="AB61">
        <f ca="1">IF(OR(AC$8=0,L60="l",D61&gt;0,U61=-1),0,IF(L60="b",-U61,TRUNC(F60*T61)))</f>
        <v>0</v>
      </c>
      <c r="AC61" t="b">
        <f>IF($D61=1,SUM(AB$13:AB59)-SUM(AC$13:AC59),IF($D61=2,$AA$5,IF($D61=3,TRUNC($AA$5,-3))))</f>
        <v>0</v>
      </c>
    </row>
    <row r="62" spans="3:29" ht="15" customHeight="1" x14ac:dyDescent="0.15">
      <c r="C62" s="182"/>
      <c r="D62" s="210"/>
      <c r="E62" s="184"/>
      <c r="F62" s="227"/>
      <c r="G62" s="297" t="str">
        <f ca="1">IF(OR(AC$8=0,L62="b"),"",IF(L62="l",0,"("&amp;FIXED(-F62,K63,0)&amp;M62))</f>
        <v/>
      </c>
      <c r="H62" s="183"/>
      <c r="I62" s="185"/>
      <c r="L62" t="str">
        <f t="shared" ca="1" si="0"/>
        <v>b</v>
      </c>
      <c r="M62" t="str">
        <f>")"&amp;REPT(" ",2-K63)&amp;IF(K63=0," ","")</f>
        <v xml:space="preserve">)   </v>
      </c>
      <c r="O62" s="194"/>
      <c r="P62" s="207">
        <f>D62</f>
        <v>0</v>
      </c>
      <c r="Q62" s="207">
        <f t="shared" si="2"/>
        <v>0</v>
      </c>
      <c r="R62" s="300" t="str">
        <f t="shared" ca="1" si="1"/>
        <v/>
      </c>
      <c r="S62" s="304"/>
      <c r="T62" s="369"/>
      <c r="U62" s="206">
        <f ca="1">IF(OR(AC$8=0,SUM(Z63:AC63)=0),1,IF(L62="l","",SUM(AB63:AC63)))</f>
        <v>1</v>
      </c>
      <c r="V62" s="387"/>
      <c r="W62" s="50"/>
      <c r="Z62"/>
    </row>
    <row r="63" spans="3:29" ht="15" customHeight="1" x14ac:dyDescent="0.15">
      <c r="C63" s="186"/>
      <c r="D63" s="205"/>
      <c r="E63" s="188"/>
      <c r="F63" s="226"/>
      <c r="G63" s="296" t="str">
        <f ca="1">IF(L63="b","",IF(L63="l",0,FIXED(F63,K63,0)&amp;M63))</f>
        <v/>
      </c>
      <c r="H63" s="187"/>
      <c r="I63" s="189"/>
      <c r="K63" s="215"/>
      <c r="L63" t="str">
        <f t="shared" ca="1" si="0"/>
        <v>b</v>
      </c>
      <c r="M63" t="str">
        <f>REPT(" ",3-K63)&amp;IF(K63=0," ","")</f>
        <v xml:space="preserve">    </v>
      </c>
      <c r="O63" s="194"/>
      <c r="P63" s="208">
        <f>IF(ISNUMBER(D63),LOOKUP(D63,$AB$5:$AC$7),D63)</f>
        <v>0</v>
      </c>
      <c r="Q63" s="208">
        <f t="shared" si="2"/>
        <v>0</v>
      </c>
      <c r="R63" s="301" t="str">
        <f t="shared" ca="1" si="1"/>
        <v/>
      </c>
      <c r="S63" s="305">
        <f>H63</f>
        <v>0</v>
      </c>
      <c r="T63" s="370"/>
      <c r="U63" s="216">
        <f ca="1">IF(L63="l","",IF(D63+F63&gt;0,SUM(Z63:AA63),-1))</f>
        <v>-1</v>
      </c>
      <c r="V63" s="472"/>
      <c r="W63" s="107"/>
      <c r="Z63" s="114">
        <f>IF(D63&gt;0,0,TRUNC(F63*T63+Y63*X63))</f>
        <v>0</v>
      </c>
      <c r="AA63" t="b">
        <f>IF($D63=1,SUM(Z$13:Z61)-SUM(AA$13:AA61),IF($D63=2,$AA$6,IF($D63=3,TRUNC($AA$6,-3))))</f>
        <v>0</v>
      </c>
      <c r="AB63">
        <f ca="1">IF(OR(AC$8=0,L62="l",D63&gt;0,U63=-1),0,IF(L62="b",-U63,TRUNC(F62*T63)))</f>
        <v>0</v>
      </c>
      <c r="AC63" t="b">
        <f>IF($D63=1,SUM(AB$13:AB61)-SUM(AC$13:AC61),IF($D63=2,$AA$5,IF($D63=3,TRUNC($AA$5,-3))))</f>
        <v>0</v>
      </c>
    </row>
    <row r="64" spans="3:29" ht="15" customHeight="1" x14ac:dyDescent="0.15">
      <c r="C64" s="182"/>
      <c r="D64" s="210"/>
      <c r="E64" s="184"/>
      <c r="F64" s="227"/>
      <c r="G64" s="297" t="str">
        <f ca="1">IF(OR(AC$8=0,L64="b"),"",IF(L64="l",0,"("&amp;FIXED(-F64,K65,0)&amp;M64))</f>
        <v/>
      </c>
      <c r="H64" s="183"/>
      <c r="I64" s="185"/>
      <c r="L64" t="str">
        <f t="shared" ca="1" si="0"/>
        <v>b</v>
      </c>
      <c r="M64" t="str">
        <f>")"&amp;REPT(" ",2-K65)&amp;IF(K65=0," ","")</f>
        <v xml:space="preserve">)   </v>
      </c>
      <c r="O64" s="194"/>
      <c r="P64" s="207">
        <f>D64</f>
        <v>0</v>
      </c>
      <c r="Q64" s="207">
        <f t="shared" si="2"/>
        <v>0</v>
      </c>
      <c r="R64" s="300" t="str">
        <f t="shared" ca="1" si="1"/>
        <v/>
      </c>
      <c r="S64" s="304"/>
      <c r="T64" s="369"/>
      <c r="U64" s="206">
        <f ca="1">IF(OR(AC$8=0,SUM(Z65:AC65)=0),1,IF(L64="l","",SUM(AB65:AC65)))</f>
        <v>1</v>
      </c>
      <c r="V64" s="387"/>
      <c r="W64" s="50"/>
      <c r="Z64"/>
    </row>
    <row r="65" spans="1:29" ht="15" customHeight="1" x14ac:dyDescent="0.15">
      <c r="C65" s="186"/>
      <c r="D65" s="205"/>
      <c r="E65" s="188"/>
      <c r="F65" s="226"/>
      <c r="G65" s="296" t="str">
        <f ca="1">IF(L65="b","",IF(L65="l",0,FIXED(F65,K65,0)&amp;M65))</f>
        <v/>
      </c>
      <c r="H65" s="187"/>
      <c r="I65" s="189"/>
      <c r="K65" s="215"/>
      <c r="L65" t="str">
        <f t="shared" ca="1" si="0"/>
        <v>b</v>
      </c>
      <c r="M65" t="str">
        <f>REPT(" ",3-K65)&amp;IF(K65=0," ","")</f>
        <v xml:space="preserve">    </v>
      </c>
      <c r="O65" s="194"/>
      <c r="P65" s="208">
        <f>IF(ISNUMBER(D65),LOOKUP(D65,$AB$5:$AC$7),D65)</f>
        <v>0</v>
      </c>
      <c r="Q65" s="208">
        <f t="shared" si="2"/>
        <v>0</v>
      </c>
      <c r="R65" s="301" t="str">
        <f t="shared" ca="1" si="1"/>
        <v/>
      </c>
      <c r="S65" s="305">
        <f>H65</f>
        <v>0</v>
      </c>
      <c r="T65" s="370"/>
      <c r="U65" s="216">
        <f ca="1">IF(L65="l","",IF(D65+F65&gt;0,SUM(Z65:AA65),-1))</f>
        <v>-1</v>
      </c>
      <c r="V65" s="472"/>
      <c r="W65" s="107"/>
      <c r="Z65" s="114">
        <f>IF(D65&gt;0,0,TRUNC(F65*T65+Y65*X65))</f>
        <v>0</v>
      </c>
      <c r="AA65" t="b">
        <f>IF($D65=1,SUM(Z$13:Z63)-SUM(AA$13:AA63),IF($D65=2,$AA$6,IF($D65=3,TRUNC($AA$6,-3))))</f>
        <v>0</v>
      </c>
      <c r="AB65">
        <f ca="1">IF(OR(AC$8=0,L64="l",D65&gt;0,U65=-1),0,IF(L64="b",-U65,TRUNC(F64*T65)))</f>
        <v>0</v>
      </c>
      <c r="AC65" t="b">
        <f>IF($D65=1,SUM(AB$13:AB63)-SUM(AC$13:AC63),IF($D65=2,$AA$5,IF($D65=3,TRUNC($AA$5,-3))))</f>
        <v>0</v>
      </c>
    </row>
    <row r="66" spans="1:29" ht="15" customHeight="1" x14ac:dyDescent="0.15">
      <c r="C66" s="182"/>
      <c r="D66" s="210"/>
      <c r="E66" s="184"/>
      <c r="F66" s="227"/>
      <c r="G66" s="297" t="str">
        <f ca="1">IF(OR(AC$8=0,L66="b"),"",IF(L66="l",0,"("&amp;FIXED(-F66,K67,0)&amp;M66))</f>
        <v/>
      </c>
      <c r="H66" s="183"/>
      <c r="I66" s="185"/>
      <c r="L66" t="str">
        <f t="shared" ca="1" si="0"/>
        <v>b</v>
      </c>
      <c r="M66" t="str">
        <f>")"&amp;REPT(" ",2-K67)&amp;IF(K67=0," ","")</f>
        <v xml:space="preserve">)   </v>
      </c>
      <c r="O66" s="194"/>
      <c r="P66" s="207">
        <f>D66</f>
        <v>0</v>
      </c>
      <c r="Q66" s="207">
        <f t="shared" si="2"/>
        <v>0</v>
      </c>
      <c r="R66" s="300" t="str">
        <f t="shared" ca="1" si="1"/>
        <v/>
      </c>
      <c r="S66" s="304"/>
      <c r="T66" s="369"/>
      <c r="U66" s="206">
        <f ca="1">IF(OR(AC$8=0,SUM(Z67:AC67)=0),1,IF(L66="l","",SUM(AB67:AC67)))</f>
        <v>1</v>
      </c>
      <c r="V66" s="387"/>
      <c r="W66" s="50"/>
      <c r="Z66"/>
    </row>
    <row r="67" spans="1:29" ht="15" customHeight="1" x14ac:dyDescent="0.15">
      <c r="C67" s="186"/>
      <c r="D67" s="205"/>
      <c r="E67" s="188"/>
      <c r="F67" s="226"/>
      <c r="G67" s="296" t="str">
        <f ca="1">IF(L67="b","",IF(L67="l",0,FIXED(F67,K67,0)&amp;M67))</f>
        <v/>
      </c>
      <c r="H67" s="187"/>
      <c r="I67" s="189"/>
      <c r="K67" s="215"/>
      <c r="L67" t="str">
        <f t="shared" ca="1" si="0"/>
        <v>b</v>
      </c>
      <c r="M67" t="str">
        <f>REPT(" ",3-K67)&amp;IF(K67=0," ","")</f>
        <v xml:space="preserve">    </v>
      </c>
      <c r="O67" s="194"/>
      <c r="P67" s="208">
        <f>IF(ISNUMBER(D67),LOOKUP(D67,$AB$5:$AC$7),D67)</f>
        <v>0</v>
      </c>
      <c r="Q67" s="208">
        <f t="shared" si="2"/>
        <v>0</v>
      </c>
      <c r="R67" s="301" t="str">
        <f t="shared" ca="1" si="1"/>
        <v/>
      </c>
      <c r="S67" s="305">
        <f>H67</f>
        <v>0</v>
      </c>
      <c r="T67" s="370"/>
      <c r="U67" s="216">
        <f ca="1">IF(L67="l","",IF(D67+F67&gt;0,SUM(Z67:AA67),-1))</f>
        <v>-1</v>
      </c>
      <c r="V67" s="472"/>
      <c r="W67" s="107"/>
      <c r="Z67" s="114">
        <f>IF(D67&gt;0,0,TRUNC(F67*T67+Y67*X67))</f>
        <v>0</v>
      </c>
      <c r="AA67" t="b">
        <f>IF($D67=1,SUM(Z$13:Z65)-SUM(AA$13:AA65),IF($D67=2,$AA$6,IF($D67=3,TRUNC($AA$6,-3))))</f>
        <v>0</v>
      </c>
      <c r="AB67">
        <f ca="1">IF(OR(AC$8=0,L66="l",D67&gt;0,U67=-1),0,IF(L66="b",-U67,TRUNC(F66*T67)))</f>
        <v>0</v>
      </c>
      <c r="AC67" t="b">
        <f>IF($D67=1,SUM(AB$13:AB65)-SUM(AC$13:AC65),IF($D67=2,$AA$5,IF($D67=3,TRUNC($AA$5,-3))))</f>
        <v>0</v>
      </c>
    </row>
    <row r="68" spans="1:29" ht="15" customHeight="1" x14ac:dyDescent="0.15">
      <c r="C68" s="182"/>
      <c r="D68" s="210"/>
      <c r="E68" s="184"/>
      <c r="F68" s="227"/>
      <c r="G68" s="297" t="str">
        <f ca="1">IF(OR(AC$8=0,L68="b"),"",IF(L68="l",0,"("&amp;FIXED(-F68,K69,0)&amp;M68))</f>
        <v/>
      </c>
      <c r="H68" s="183"/>
      <c r="I68" s="185"/>
      <c r="L68" t="str">
        <f t="shared" ref="L68:L73" ca="1" si="9">CELL("type",F68)</f>
        <v>b</v>
      </c>
      <c r="M68" t="str">
        <f>")"&amp;REPT(" ",2-K69)&amp;IF(K69=0," ","")</f>
        <v xml:space="preserve">)   </v>
      </c>
      <c r="O68" s="194"/>
      <c r="P68" s="207">
        <f>D68</f>
        <v>0</v>
      </c>
      <c r="Q68" s="207">
        <f t="shared" ref="Q68:Q73" si="10">E68</f>
        <v>0</v>
      </c>
      <c r="R68" s="300" t="str">
        <f t="shared" ref="R68:R73" ca="1" si="11">G68</f>
        <v/>
      </c>
      <c r="S68" s="304"/>
      <c r="T68" s="369"/>
      <c r="U68" s="206">
        <f ca="1">IF(OR(AC$8=0,SUM(Z69:AC69)=0),1,IF(L68="l","",SUM(AB69:AC69)))</f>
        <v>1</v>
      </c>
      <c r="V68" s="387"/>
      <c r="W68" s="50"/>
      <c r="Z68"/>
    </row>
    <row r="69" spans="1:29" ht="15" customHeight="1" x14ac:dyDescent="0.15">
      <c r="C69" s="186"/>
      <c r="D69" s="205">
        <v>2</v>
      </c>
      <c r="E69" s="188"/>
      <c r="F69" s="226"/>
      <c r="G69" s="296" t="str">
        <f ca="1">IF(L69="b","",IF(L69="l",0,FIXED(F69,K69,0)&amp;M69))</f>
        <v/>
      </c>
      <c r="H69" s="187"/>
      <c r="I69" s="189"/>
      <c r="K69" s="215"/>
      <c r="L69" t="str">
        <f t="shared" ca="1" si="9"/>
        <v>b</v>
      </c>
      <c r="M69" t="str">
        <f>REPT(" ",3-K69)&amp;IF(K69=0," ","")</f>
        <v xml:space="preserve">    </v>
      </c>
      <c r="O69" s="194"/>
      <c r="P69" s="208" t="str">
        <f>IF(ISNUMBER(D69),LOOKUP(D69,$AB$5:$AC$7),D69)</f>
        <v>合　　　計</v>
      </c>
      <c r="Q69" s="208">
        <f t="shared" si="10"/>
        <v>0</v>
      </c>
      <c r="R69" s="301" t="str">
        <f t="shared" ca="1" si="11"/>
        <v/>
      </c>
      <c r="S69" s="305">
        <f>H69</f>
        <v>0</v>
      </c>
      <c r="T69" s="370"/>
      <c r="U69" s="216">
        <f ca="1">IF(L69="l","",IF(D69+F69&gt;0,SUM(Z69:AA69),-1))</f>
        <v>43693</v>
      </c>
      <c r="V69" s="454"/>
      <c r="W69" s="107"/>
      <c r="Z69" s="114">
        <f>IF(D69&gt;0,0,TRUNC(F69*T69+Y69*X69))</f>
        <v>0</v>
      </c>
      <c r="AA69">
        <f ca="1">IF($D69=1,SUM(Z$13:Z67)-SUM(AA$13:AA67),IF($D69=2,$AA$6,IF($D69=3,TRUNC($AA$6,-3))))</f>
        <v>43693</v>
      </c>
      <c r="AB69">
        <f ca="1">IF(OR(AC$8=0,L68="l",D69&gt;0,U69=-1),0,IF(L68="b",-U69,TRUNC(F68*T69)))</f>
        <v>0</v>
      </c>
      <c r="AC69">
        <f ca="1">IF($D69=1,SUM(AB$13:AB67)-SUM(AC$13:AC67),IF($D69=2,$AA$5,IF($D69=3,TRUNC($AA$5,-3))))</f>
        <v>0</v>
      </c>
    </row>
    <row r="70" spans="1:29" ht="15" customHeight="1" x14ac:dyDescent="0.15">
      <c r="C70" s="182"/>
      <c r="D70" s="210"/>
      <c r="E70" s="184"/>
      <c r="F70" s="227"/>
      <c r="G70" s="297" t="str">
        <f ca="1">IF(OR(AC$8=0,L70="b"),"",IF(L70="l",0,"("&amp;FIXED(-F70,K71,0)&amp;M70))</f>
        <v/>
      </c>
      <c r="H70" s="183"/>
      <c r="I70" s="185"/>
      <c r="L70" t="str">
        <f t="shared" ca="1" si="9"/>
        <v>b</v>
      </c>
      <c r="M70" t="str">
        <f>")"&amp;REPT(" ",2-K71)&amp;IF(K71=0," ","")</f>
        <v xml:space="preserve">)   </v>
      </c>
      <c r="O70" s="194"/>
      <c r="P70" s="207">
        <f>D70</f>
        <v>0</v>
      </c>
      <c r="Q70" s="207">
        <f t="shared" si="10"/>
        <v>0</v>
      </c>
      <c r="R70" s="300" t="str">
        <f t="shared" ca="1" si="11"/>
        <v/>
      </c>
      <c r="S70" s="304"/>
      <c r="T70" s="369"/>
      <c r="U70" s="206">
        <f ca="1">IF(OR(AC$8=0,SUM(Z71:AC71)=0),1,IF(L70="l","",SUM(AB71:AC71)))</f>
        <v>1</v>
      </c>
      <c r="V70" s="387"/>
      <c r="W70" s="50"/>
      <c r="Z70"/>
    </row>
    <row r="71" spans="1:29" ht="15" customHeight="1" x14ac:dyDescent="0.15">
      <c r="C71" s="186"/>
      <c r="D71" s="205">
        <v>3</v>
      </c>
      <c r="E71" s="188"/>
      <c r="F71" s="226"/>
      <c r="G71" s="296" t="str">
        <f ca="1">IF(L71="b","",IF(L71="l",0,FIXED(F71,K71,0)&amp;M71))</f>
        <v/>
      </c>
      <c r="H71" s="187"/>
      <c r="I71" s="189"/>
      <c r="K71" s="215"/>
      <c r="L71" t="str">
        <f t="shared" ca="1" si="9"/>
        <v>b</v>
      </c>
      <c r="M71" t="str">
        <f>REPT(" ",3-K71)&amp;IF(K71=0," ","")</f>
        <v xml:space="preserve">    </v>
      </c>
      <c r="O71" s="194"/>
      <c r="P71" s="208" t="str">
        <f>IF(ISNUMBER(D71),LOOKUP(D71,$AB$5:$AC$7),D71)</f>
        <v>改　　　め</v>
      </c>
      <c r="Q71" s="208">
        <f t="shared" si="10"/>
        <v>0</v>
      </c>
      <c r="R71" s="301" t="str">
        <f t="shared" ca="1" si="11"/>
        <v/>
      </c>
      <c r="S71" s="305">
        <f>H71</f>
        <v>0</v>
      </c>
      <c r="T71" s="370"/>
      <c r="U71" s="216">
        <f ca="1">IF(L71="l","",IF(D71+F71&gt;0,SUM(Z71:AA71),-1))</f>
        <v>43000</v>
      </c>
      <c r="V71" s="454"/>
      <c r="W71" s="107"/>
      <c r="Z71" s="114">
        <f>IF(D71&gt;0,0,TRUNC(F71*T71+Y71*X71))</f>
        <v>0</v>
      </c>
      <c r="AA71">
        <f ca="1">IF($D71=1,SUM(Z$13:Z69)-SUM(AA$13:AA69),IF($D71=2,$AA$6,IF($D71=3,TRUNC($AA$6,-3))))</f>
        <v>43000</v>
      </c>
      <c r="AB71">
        <f ca="1">IF(OR(AC$8=0,L70="l",D71&gt;0,U71=-1),0,IF(L70="b",-U71,TRUNC(F70*T71)))</f>
        <v>0</v>
      </c>
      <c r="AC71">
        <f ca="1">IF($D71=1,SUM(AB$13:AB69)-SUM(AC$13:AC69),IF($D71=2,$AA$5,IF($D71=3,TRUNC($AA$5,-3))))</f>
        <v>0</v>
      </c>
    </row>
    <row r="72" spans="1:29" ht="15" customHeight="1" x14ac:dyDescent="0.15">
      <c r="C72" s="182"/>
      <c r="D72" s="210"/>
      <c r="E72" s="184"/>
      <c r="F72" s="227"/>
      <c r="G72" s="297" t="str">
        <f ca="1">IF(OR(AC$8=0,L72="b"),"",IF(L72="l",0,"("&amp;FIXED(-F72,K73,0)&amp;M72))</f>
        <v/>
      </c>
      <c r="H72" s="183"/>
      <c r="I72" s="185"/>
      <c r="L72" t="str">
        <f t="shared" ca="1" si="9"/>
        <v>b</v>
      </c>
      <c r="M72" t="str">
        <f>")"&amp;REPT(" ",2-K73)&amp;IF(K73=0," ","")</f>
        <v xml:space="preserve">)   </v>
      </c>
      <c r="O72" s="194"/>
      <c r="P72" s="207">
        <f>D72</f>
        <v>0</v>
      </c>
      <c r="Q72" s="207">
        <f t="shared" si="10"/>
        <v>0</v>
      </c>
      <c r="R72" s="300" t="str">
        <f t="shared" ca="1" si="11"/>
        <v/>
      </c>
      <c r="S72" s="304"/>
      <c r="T72" s="144"/>
      <c r="U72" s="206">
        <f ca="1">IF(OR(AC$8=0,SUM(Z73:AC73)=0),1,IF(L72="l","",SUM(AB73:AC73)))</f>
        <v>1</v>
      </c>
      <c r="V72" s="387"/>
      <c r="W72" s="50"/>
      <c r="Z72"/>
    </row>
    <row r="73" spans="1:29" ht="15" customHeight="1" thickBot="1" x14ac:dyDescent="0.2">
      <c r="C73" s="190"/>
      <c r="D73" s="211"/>
      <c r="E73" s="192"/>
      <c r="F73" s="228"/>
      <c r="G73" s="298" t="str">
        <f ca="1">IF(L73="b","",IF(L73="l",0,FIXED(F73,K73,0)&amp;M73))</f>
        <v/>
      </c>
      <c r="H73" s="191"/>
      <c r="I73" s="193"/>
      <c r="K73" s="215"/>
      <c r="L73" t="str">
        <f t="shared" ca="1" si="9"/>
        <v>b</v>
      </c>
      <c r="M73" t="str">
        <f>REPT(" ",3-K73)&amp;IF(K73=0," ","")</f>
        <v xml:space="preserve">    </v>
      </c>
      <c r="O73" s="254"/>
      <c r="P73" s="209">
        <f>IF(ISNUMBER(D73),LOOKUP(D73,$AB$5:$AC$7),D73)</f>
        <v>0</v>
      </c>
      <c r="Q73" s="209">
        <f t="shared" si="10"/>
        <v>0</v>
      </c>
      <c r="R73" s="302" t="str">
        <f t="shared" ca="1" si="11"/>
        <v/>
      </c>
      <c r="S73" s="306">
        <f>H73</f>
        <v>0</v>
      </c>
      <c r="T73" s="371"/>
      <c r="U73" s="217">
        <f ca="1">IF(L73="l","",IF(D73+F73&gt;0,SUM(Z73:AA73),-1))</f>
        <v>-1</v>
      </c>
      <c r="V73" s="455"/>
      <c r="W73" s="55"/>
      <c r="Z73" s="114">
        <f>IF(D73&gt;0,0,TRUNC(F73*T73+Y73*X73))</f>
        <v>0</v>
      </c>
      <c r="AA73" t="b">
        <f>IF($D73=1,SUM(Z$13:Z71)-SUM(AA$13:AA71),IF($D73=2,$AA$6,IF($D73=3,TRUNC($AA$6,-3))))</f>
        <v>0</v>
      </c>
      <c r="AB73">
        <f ca="1">IF(OR(AC$8=0,L72="l",D73&gt;0,U73=-1),0,IF(L72="b",-U73,TRUNC(F72*T73)))</f>
        <v>0</v>
      </c>
      <c r="AC73" t="b">
        <f>IF($D73=1,SUM(AB$13:AB71)-SUM(AC$13:AC71),IF($D73=2,$AA$5,IF($D73=3,TRUNC($AA$5,-3))))</f>
        <v>0</v>
      </c>
    </row>
    <row r="74" spans="1:29" ht="13.5" customHeight="1" thickBot="1" x14ac:dyDescent="0.2">
      <c r="A74" s="257" t="b">
        <f>SUM(F79:F141)&gt;0</f>
        <v>0</v>
      </c>
      <c r="B74" s="257"/>
      <c r="C74" s="257"/>
      <c r="D74" s="257"/>
      <c r="E74" s="257"/>
      <c r="F74" s="257"/>
      <c r="G74" s="100" t="s">
        <v>379</v>
      </c>
      <c r="H74" s="257"/>
      <c r="I74" s="257" t="str">
        <f>"( "&amp;FIXED(SUM(A$8:A74),0)&amp;" ／ "&amp;FIXED(B$8,0)&amp;" )"</f>
        <v>( 1 ／ 1 )</v>
      </c>
      <c r="J74" s="257"/>
      <c r="K74" s="257"/>
      <c r="L74" s="257"/>
      <c r="M74" s="257"/>
      <c r="N74" s="257"/>
      <c r="O74" s="257"/>
      <c r="P74" s="257"/>
      <c r="Q74" s="257"/>
      <c r="R74" s="257"/>
      <c r="S74" s="257"/>
      <c r="T74" s="257"/>
      <c r="U74" s="258" t="str">
        <f>G74</f>
        <v>電気設備(屋外)</v>
      </c>
      <c r="V74" s="390"/>
      <c r="W74" s="257" t="str">
        <f>"( "&amp;FIXED(SUM(A$8:A74),0)&amp;" ／ "&amp;FIXED(B$8,0)&amp;" )"</f>
        <v>( 1 ／ 1 )</v>
      </c>
      <c r="Z74"/>
    </row>
    <row r="75" spans="1:29" ht="13.5" customHeight="1" x14ac:dyDescent="0.15">
      <c r="C75" s="16"/>
      <c r="D75" s="102"/>
      <c r="E75" s="102"/>
      <c r="F75" s="18"/>
      <c r="G75" s="102"/>
      <c r="H75" s="102"/>
      <c r="I75" s="48"/>
      <c r="O75" s="780" t="s">
        <v>258</v>
      </c>
      <c r="P75" s="47"/>
      <c r="Q75" s="47"/>
      <c r="R75" s="102"/>
      <c r="S75" s="47"/>
      <c r="T75" s="109" t="s">
        <v>88</v>
      </c>
      <c r="U75" s="110"/>
      <c r="V75" s="781" t="s">
        <v>257</v>
      </c>
      <c r="W75" s="48"/>
    </row>
    <row r="76" spans="1:29" ht="13.5" customHeight="1" x14ac:dyDescent="0.15">
      <c r="C76" s="24" t="s">
        <v>222</v>
      </c>
      <c r="D76" s="6" t="s">
        <v>223</v>
      </c>
      <c r="E76" s="7" t="s">
        <v>224</v>
      </c>
      <c r="F76" s="25"/>
      <c r="G76" s="6" t="s">
        <v>105</v>
      </c>
      <c r="H76" s="6" t="s">
        <v>92</v>
      </c>
      <c r="I76" s="69" t="s">
        <v>225</v>
      </c>
      <c r="O76" s="752"/>
      <c r="P76" s="6" t="s">
        <v>89</v>
      </c>
      <c r="Q76" s="6" t="s">
        <v>90</v>
      </c>
      <c r="R76" s="7" t="s">
        <v>91</v>
      </c>
      <c r="S76" s="6" t="s">
        <v>92</v>
      </c>
      <c r="T76" s="6" t="s">
        <v>93</v>
      </c>
      <c r="U76" s="6" t="s">
        <v>94</v>
      </c>
      <c r="V76" s="782"/>
      <c r="W76" s="106" t="s">
        <v>226</v>
      </c>
      <c r="Z76"/>
    </row>
    <row r="77" spans="1:29" ht="13.5" customHeight="1" thickBot="1" x14ac:dyDescent="0.2">
      <c r="C77" s="71"/>
      <c r="D77" s="40"/>
      <c r="E77" s="40"/>
      <c r="F77" s="36"/>
      <c r="G77" s="40"/>
      <c r="H77" s="40"/>
      <c r="I77" s="52"/>
      <c r="M77" t="s">
        <v>227</v>
      </c>
      <c r="O77" s="753"/>
      <c r="P77" s="39"/>
      <c r="Q77" s="39"/>
      <c r="R77" s="40"/>
      <c r="S77" s="39"/>
      <c r="T77" s="56" t="s">
        <v>96</v>
      </c>
      <c r="U77" s="56" t="s">
        <v>96</v>
      </c>
      <c r="V77" s="783"/>
      <c r="W77" s="52"/>
    </row>
    <row r="78" spans="1:29" ht="15" customHeight="1" thickTop="1" x14ac:dyDescent="0.15">
      <c r="C78" s="182"/>
      <c r="D78" s="210"/>
      <c r="E78" s="184"/>
      <c r="F78" s="227"/>
      <c r="G78" s="297" t="str">
        <f ca="1">IF(OR(AC$8=0,L78="b"),"",IF(L78="l",0,"("&amp;FIXED(-F78,K79,0)&amp;M78))</f>
        <v/>
      </c>
      <c r="H78" s="183"/>
      <c r="I78" s="185"/>
      <c r="L78" t="str">
        <f t="shared" ref="L78:L85" ca="1" si="12">CELL("type",F78)</f>
        <v>b</v>
      </c>
      <c r="M78" t="str">
        <f>")"&amp;REPT(" ",2-K79)&amp;IF(K79=0," ","")</f>
        <v xml:space="preserve">)   </v>
      </c>
      <c r="O78" s="182"/>
      <c r="P78" s="207">
        <f>D78</f>
        <v>0</v>
      </c>
      <c r="Q78" s="207">
        <f>E78</f>
        <v>0</v>
      </c>
      <c r="R78" s="300" t="str">
        <f t="shared" ref="R78:R85" ca="1" si="13">G78</f>
        <v/>
      </c>
      <c r="S78" s="304"/>
      <c r="T78" s="369"/>
      <c r="U78" s="206">
        <f ca="1">IF(OR(AC$8=0,SUM(Z79:AC79)=0),1,IF(L78="l","",SUM(AB79:AC79)))</f>
        <v>1</v>
      </c>
      <c r="V78" s="387"/>
      <c r="W78" s="50"/>
      <c r="Z78"/>
    </row>
    <row r="79" spans="1:29" ht="15" customHeight="1" x14ac:dyDescent="0.15">
      <c r="C79" s="186"/>
      <c r="D79" s="205"/>
      <c r="E79" s="188"/>
      <c r="F79" s="226"/>
      <c r="G79" s="296" t="str">
        <f ca="1">IF(L79="b","",IF(L79="l",0,FIXED(F79,K79,0)&amp;M79))</f>
        <v/>
      </c>
      <c r="H79" s="187"/>
      <c r="I79" s="189"/>
      <c r="K79" s="215"/>
      <c r="L79" t="str">
        <f t="shared" ca="1" si="12"/>
        <v>b</v>
      </c>
      <c r="M79" t="str">
        <f>REPT(" ",3-K79)&amp;IF(K79=0," ","")</f>
        <v xml:space="preserve">    </v>
      </c>
      <c r="O79" s="182"/>
      <c r="P79" s="208">
        <f>IF(ISNUMBER(D79),LOOKUP(D79,$AB$5:$AC$7),D79)</f>
        <v>0</v>
      </c>
      <c r="Q79" s="208">
        <f t="shared" ref="Q79:Q85" si="14">E79</f>
        <v>0</v>
      </c>
      <c r="R79" s="301" t="str">
        <f t="shared" ca="1" si="13"/>
        <v/>
      </c>
      <c r="S79" s="305">
        <f>H79</f>
        <v>0</v>
      </c>
      <c r="T79" s="370"/>
      <c r="U79" s="216">
        <f ca="1">IF(L79="l","",IF(D79+F79&gt;0,SUM(Z79:AA79),-1))</f>
        <v>-1</v>
      </c>
      <c r="V79" s="472"/>
      <c r="W79" s="107"/>
      <c r="Z79" s="114">
        <f>IF(D79&gt;0,0,TRUNC(F79*T79+Y79*X79))</f>
        <v>0</v>
      </c>
      <c r="AA79" t="b">
        <f>IF($D79=1,SUM(Z$13:Z77)-SUM(AA$13:AA77),IF($D79=2,$AA$6,IF($D79=3,TRUNC($AA$6,-3))))</f>
        <v>0</v>
      </c>
      <c r="AB79">
        <f ca="1">IF(OR(AC$8=0,L78="l",D79&gt;0,U79=-1),0,IF(L78="b",-U79,TRUNC(F78*T79)))</f>
        <v>0</v>
      </c>
      <c r="AC79" t="b">
        <f>IF($D79=1,SUM(AB$13:AB77)-SUM(AC$13:AC77),IF($D79=2,$AA$5,IF($D79=3,TRUNC($AA$5,-3))))</f>
        <v>0</v>
      </c>
    </row>
    <row r="80" spans="1:29" ht="15" customHeight="1" x14ac:dyDescent="0.15">
      <c r="C80" s="182"/>
      <c r="D80" s="210"/>
      <c r="E80" s="184"/>
      <c r="F80" s="227"/>
      <c r="G80" s="297" t="str">
        <f ca="1">IF(OR(AC$8=0,L80="b"),"",IF(L80="l",0,"("&amp;FIXED(-F80,K81,0)&amp;M80))</f>
        <v/>
      </c>
      <c r="H80" s="183"/>
      <c r="I80" s="185"/>
      <c r="L80" t="str">
        <f t="shared" ca="1" si="12"/>
        <v>b</v>
      </c>
      <c r="M80" t="str">
        <f>")"&amp;REPT(" ",2-K81)&amp;IF(K81=0," ","")</f>
        <v xml:space="preserve">)   </v>
      </c>
      <c r="O80" s="194"/>
      <c r="P80" s="207">
        <f>D80</f>
        <v>0</v>
      </c>
      <c r="Q80" s="207">
        <f t="shared" si="14"/>
        <v>0</v>
      </c>
      <c r="R80" s="300" t="str">
        <f t="shared" ca="1" si="13"/>
        <v/>
      </c>
      <c r="S80" s="304"/>
      <c r="T80" s="369"/>
      <c r="U80" s="206">
        <f ca="1">IF(OR(AC$8=0,SUM(Z81:AC81)=0),1,IF(L80="l","",SUM(AB81:AC81)))</f>
        <v>1</v>
      </c>
      <c r="V80" s="387"/>
      <c r="W80" s="50"/>
      <c r="Z80"/>
    </row>
    <row r="81" spans="3:29" ht="15" customHeight="1" x14ac:dyDescent="0.15">
      <c r="C81" s="186"/>
      <c r="D81" s="205"/>
      <c r="E81" s="188"/>
      <c r="F81" s="226"/>
      <c r="G81" s="296" t="str">
        <f ca="1">IF(L81="b","",IF(L81="l",0,FIXED(F81,K81,0)&amp;M81))</f>
        <v/>
      </c>
      <c r="H81" s="187"/>
      <c r="I81" s="189"/>
      <c r="K81" s="215"/>
      <c r="L81" t="str">
        <f t="shared" ca="1" si="12"/>
        <v>b</v>
      </c>
      <c r="M81" t="str">
        <f>REPT(" ",3-K81)&amp;IF(K81=0," ","")</f>
        <v xml:space="preserve">    </v>
      </c>
      <c r="O81" s="194"/>
      <c r="P81" s="208">
        <f>IF(ISNUMBER(D81),LOOKUP(D81,$AB$5:$AC$7),D81)</f>
        <v>0</v>
      </c>
      <c r="Q81" s="208">
        <f t="shared" si="14"/>
        <v>0</v>
      </c>
      <c r="R81" s="301" t="str">
        <f t="shared" ca="1" si="13"/>
        <v/>
      </c>
      <c r="S81" s="305">
        <f>H81</f>
        <v>0</v>
      </c>
      <c r="T81" s="370"/>
      <c r="U81" s="216">
        <f ca="1">IF(L81="l","",IF(D81+F81&gt;0,SUM(Z81:AA81),-1))</f>
        <v>-1</v>
      </c>
      <c r="V81" s="472"/>
      <c r="W81" s="107"/>
      <c r="Z81" s="114">
        <f>IF(D81&gt;0,0,TRUNC(F81*T81+Y81*X81))</f>
        <v>0</v>
      </c>
      <c r="AA81" t="b">
        <f>IF($D81=1,SUM(Z$13:Z79)-SUM(AA$13:AA79),IF($D81=2,$AA$6,IF($D81=3,TRUNC($AA$6,-3))))</f>
        <v>0</v>
      </c>
      <c r="AB81">
        <f ca="1">IF(OR(AC$8=0,L80="l",D81&gt;0,U81=-1),0,IF(L80="b",-U81,TRUNC(F80*T81)))</f>
        <v>0</v>
      </c>
      <c r="AC81" t="b">
        <f>IF($D81=1,SUM(AB$13:AB79)-SUM(AC$13:AC79),IF($D81=2,$AA$5,IF($D81=3,TRUNC($AA$5,-3))))</f>
        <v>0</v>
      </c>
    </row>
    <row r="82" spans="3:29" ht="15" customHeight="1" x14ac:dyDescent="0.15">
      <c r="C82" s="182"/>
      <c r="D82" s="210"/>
      <c r="E82" s="184"/>
      <c r="F82" s="227"/>
      <c r="G82" s="297" t="str">
        <f ca="1">IF(OR(AC$8=0,L82="b"),"",IF(L82="l",0,"("&amp;FIXED(-F82,K83,0)&amp;M82))</f>
        <v/>
      </c>
      <c r="H82" s="183"/>
      <c r="I82" s="185"/>
      <c r="L82" t="str">
        <f t="shared" ca="1" si="12"/>
        <v>b</v>
      </c>
      <c r="M82" t="str">
        <f>")"&amp;REPT(" ",2-K83)&amp;IF(K83=0," ","")</f>
        <v xml:space="preserve">)   </v>
      </c>
      <c r="O82" s="194"/>
      <c r="P82" s="207">
        <f>D82</f>
        <v>0</v>
      </c>
      <c r="Q82" s="207">
        <f t="shared" si="14"/>
        <v>0</v>
      </c>
      <c r="R82" s="300" t="str">
        <f t="shared" ca="1" si="13"/>
        <v/>
      </c>
      <c r="S82" s="304"/>
      <c r="T82" s="369"/>
      <c r="U82" s="206">
        <f ca="1">IF(OR(AC$8=0,SUM(Z83:AC83)=0),1,IF(L82="l","",SUM(AB83:AC83)))</f>
        <v>1</v>
      </c>
      <c r="V82" s="387"/>
      <c r="W82" s="50"/>
      <c r="Z82"/>
    </row>
    <row r="83" spans="3:29" ht="15" customHeight="1" x14ac:dyDescent="0.15">
      <c r="C83" s="186"/>
      <c r="D83" s="205"/>
      <c r="E83" s="188"/>
      <c r="F83" s="226"/>
      <c r="G83" s="296" t="str">
        <f ca="1">IF(L83="b","",IF(L83="l",0,FIXED(F83,K83,0)&amp;M83))</f>
        <v/>
      </c>
      <c r="H83" s="187"/>
      <c r="I83" s="189"/>
      <c r="K83" s="215"/>
      <c r="L83" t="str">
        <f t="shared" ca="1" si="12"/>
        <v>b</v>
      </c>
      <c r="M83" t="str">
        <f>REPT(" ",3-K83)&amp;IF(K83=0," ","")</f>
        <v xml:space="preserve">    </v>
      </c>
      <c r="O83" s="194"/>
      <c r="P83" s="208">
        <f>IF(ISNUMBER(D83),LOOKUP(D83,$AB$5:$AC$7),D83)</f>
        <v>0</v>
      </c>
      <c r="Q83" s="208">
        <f t="shared" si="14"/>
        <v>0</v>
      </c>
      <c r="R83" s="301" t="str">
        <f t="shared" ca="1" si="13"/>
        <v/>
      </c>
      <c r="S83" s="305">
        <f>H83</f>
        <v>0</v>
      </c>
      <c r="T83" s="370"/>
      <c r="U83" s="216">
        <f ca="1">IF(L83="l","",IF(D83+F83&gt;0,SUM(Z83:AA83),-1))</f>
        <v>-1</v>
      </c>
      <c r="V83" s="454"/>
      <c r="W83" s="107"/>
      <c r="Z83" s="114">
        <f>IF(D83&gt;0,0,TRUNC(F83*T83+Y83*X83))</f>
        <v>0</v>
      </c>
      <c r="AA83" t="b">
        <f>IF($D83=1,SUM(Z$13:Z81)-SUM(AA$13:AA81),IF($D83=2,$AA$6,IF($D83=3,TRUNC($AA$6,-3))))</f>
        <v>0</v>
      </c>
      <c r="AB83">
        <f ca="1">IF(OR(AC$8=0,L82="l",D83&gt;0,U83=-1),0,IF(L82="b",-U83,TRUNC(F82*T83)))</f>
        <v>0</v>
      </c>
      <c r="AC83" t="b">
        <f>IF($D83=1,SUM(AB$13:AB81)-SUM(AC$13:AC81),IF($D83=2,$AA$5,IF($D83=3,TRUNC($AA$5,-3))))</f>
        <v>0</v>
      </c>
    </row>
    <row r="84" spans="3:29" ht="15" customHeight="1" x14ac:dyDescent="0.15">
      <c r="C84" s="182"/>
      <c r="D84" s="210"/>
      <c r="E84" s="184"/>
      <c r="F84" s="227"/>
      <c r="G84" s="297" t="str">
        <f ca="1">IF(OR(AC$8=0,L84="b"),"",IF(L84="l",0,"("&amp;FIXED(-F84,K85,0)&amp;M84))</f>
        <v/>
      </c>
      <c r="H84" s="183"/>
      <c r="I84" s="185"/>
      <c r="L84" t="str">
        <f t="shared" ca="1" si="12"/>
        <v>b</v>
      </c>
      <c r="M84" t="str">
        <f>")"&amp;REPT(" ",2-K85)&amp;IF(K85=0," ","")</f>
        <v xml:space="preserve">)   </v>
      </c>
      <c r="O84" s="194"/>
      <c r="P84" s="207">
        <f>D84</f>
        <v>0</v>
      </c>
      <c r="Q84" s="207">
        <f t="shared" si="14"/>
        <v>0</v>
      </c>
      <c r="R84" s="300" t="str">
        <f t="shared" ca="1" si="13"/>
        <v/>
      </c>
      <c r="S84" s="304"/>
      <c r="T84" s="369"/>
      <c r="U84" s="206">
        <f ca="1">IF(OR(AC$8=0,SUM(Z85:AC85)=0),1,IF(L84="l","",SUM(AB85:AC85)))</f>
        <v>1</v>
      </c>
      <c r="V84" s="387"/>
      <c r="W84" s="50"/>
      <c r="Z84"/>
    </row>
    <row r="85" spans="3:29" ht="15" customHeight="1" x14ac:dyDescent="0.15">
      <c r="C85" s="186"/>
      <c r="D85" s="205"/>
      <c r="E85" s="188"/>
      <c r="F85" s="226"/>
      <c r="G85" s="296" t="str">
        <f ca="1">IF(L85="b","",IF(L85="l",0,FIXED(F85,K85,0)&amp;M85))</f>
        <v/>
      </c>
      <c r="H85" s="187"/>
      <c r="I85" s="189"/>
      <c r="K85" s="215"/>
      <c r="L85" t="str">
        <f t="shared" ca="1" si="12"/>
        <v>b</v>
      </c>
      <c r="M85" t="str">
        <f>REPT(" ",3-K85)&amp;IF(K85=0," ","")</f>
        <v xml:space="preserve">    </v>
      </c>
      <c r="O85" s="194"/>
      <c r="P85" s="208">
        <f>IF(ISNUMBER(D85),LOOKUP(D85,$AB$5:$AC$7),D85)</f>
        <v>0</v>
      </c>
      <c r="Q85" s="208">
        <f t="shared" si="14"/>
        <v>0</v>
      </c>
      <c r="R85" s="301" t="str">
        <f t="shared" ca="1" si="13"/>
        <v/>
      </c>
      <c r="S85" s="305">
        <f>H85</f>
        <v>0</v>
      </c>
      <c r="T85" s="370"/>
      <c r="U85" s="216">
        <f ca="1">IF(L85="l","",IF(D85+F85&gt;0,SUM(Z85:AA85),-1))</f>
        <v>-1</v>
      </c>
      <c r="V85" s="454"/>
      <c r="W85" s="107"/>
      <c r="Z85" s="114">
        <f>IF(D85&gt;0,0,TRUNC(F85*T85+Y85*X85))</f>
        <v>0</v>
      </c>
      <c r="AA85" t="b">
        <f>IF($D85=1,SUM(Z$13:Z83)-SUM(AA$13:AA83),IF($D85=2,$AA$6,IF($D85=3,TRUNC($AA$6,-3))))</f>
        <v>0</v>
      </c>
      <c r="AB85">
        <f ca="1">IF(OR(AC$8=0,L84="l",D85&gt;0,U85=-1),0,IF(L84="b",-U85,TRUNC(F84*T85)))</f>
        <v>0</v>
      </c>
      <c r="AC85" t="b">
        <f>IF($D85=1,SUM(AB$13:AB83)-SUM(AC$13:AC83),IF($D85=2,$AA$5,IF($D85=3,TRUNC($AA$5,-3))))</f>
        <v>0</v>
      </c>
    </row>
    <row r="86" spans="3:29" ht="15" customHeight="1" x14ac:dyDescent="0.15">
      <c r="C86" s="182"/>
      <c r="D86" s="210"/>
      <c r="E86" s="184"/>
      <c r="F86" s="227"/>
      <c r="G86" s="297" t="str">
        <f ca="1">IF(OR(AC$8=0,L86="b"),"",IF(L86="l",0,"("&amp;FIXED(-F86,K87,0)&amp;M86))</f>
        <v/>
      </c>
      <c r="H86" s="183"/>
      <c r="I86" s="185"/>
      <c r="L86" t="str">
        <f t="shared" ref="L86:L141" ca="1" si="15">CELL("type",F86)</f>
        <v>b</v>
      </c>
      <c r="M86" t="str">
        <f>")"&amp;REPT(" ",2-K87)&amp;IF(K87=0," ","")</f>
        <v xml:space="preserve">)   </v>
      </c>
      <c r="O86" s="194"/>
      <c r="P86" s="207">
        <f>D86</f>
        <v>0</v>
      </c>
      <c r="Q86" s="207">
        <f t="shared" ref="Q86:Q142" si="16">E86</f>
        <v>0</v>
      </c>
      <c r="R86" s="300" t="str">
        <f t="shared" ref="R86:R141" ca="1" si="17">G86</f>
        <v/>
      </c>
      <c r="S86" s="304"/>
      <c r="T86" s="369"/>
      <c r="U86" s="206">
        <f ca="1">IF(OR(AC$8=0,SUM(Z87:AC87)=0),1,IF(L86="l","",SUM(AB87:AC87)))</f>
        <v>1</v>
      </c>
      <c r="V86" s="387"/>
      <c r="W86" s="50"/>
      <c r="Z86"/>
    </row>
    <row r="87" spans="3:29" ht="15" customHeight="1" x14ac:dyDescent="0.15">
      <c r="C87" s="186"/>
      <c r="D87" s="205"/>
      <c r="E87" s="188"/>
      <c r="F87" s="226"/>
      <c r="G87" s="296" t="str">
        <f ca="1">IF(L87="b","",IF(L87="l",0,FIXED(F87,K87,0)&amp;M87))</f>
        <v/>
      </c>
      <c r="H87" s="187"/>
      <c r="I87" s="189"/>
      <c r="K87" s="215"/>
      <c r="L87" t="str">
        <f t="shared" ca="1" si="15"/>
        <v>b</v>
      </c>
      <c r="M87" t="str">
        <f>REPT(" ",3-K87)&amp;IF(K87=0," ","")</f>
        <v xml:space="preserve">    </v>
      </c>
      <c r="O87" s="194"/>
      <c r="P87" s="208">
        <f>IF(ISNUMBER(D87),LOOKUP(D87,$AB$5:$AC$7),D87)</f>
        <v>0</v>
      </c>
      <c r="Q87" s="208">
        <f t="shared" si="16"/>
        <v>0</v>
      </c>
      <c r="R87" s="301" t="str">
        <f t="shared" ca="1" si="17"/>
        <v/>
      </c>
      <c r="S87" s="305">
        <f>H87</f>
        <v>0</v>
      </c>
      <c r="T87" s="370"/>
      <c r="U87" s="216">
        <f ca="1">IF(L87="l","",IF(D87+F87&gt;0,SUM(Z87:AA87),-1))</f>
        <v>-1</v>
      </c>
      <c r="V87" s="454"/>
      <c r="W87" s="107"/>
      <c r="Z87" s="114">
        <f>IF(D87&gt;0,0,TRUNC(F87*T87+Y87*X87))</f>
        <v>0</v>
      </c>
      <c r="AA87" t="b">
        <f>IF($D87=1,SUM(Z$13:Z85)-SUM(AA$13:AA85),IF($D87=2,$AA$6,IF($D87=3,TRUNC($AA$6,-3))))</f>
        <v>0</v>
      </c>
      <c r="AB87">
        <f ca="1">IF(OR(AC$8=0,L86="l",D87&gt;0,U87=-1),0,IF(L86="b",-U87,TRUNC(F86*T87)))</f>
        <v>0</v>
      </c>
      <c r="AC87" t="b">
        <f>IF($D87=1,SUM(AB$13:AB85)-SUM(AC$13:AC85),IF($D87=2,$AA$5,IF($D87=3,TRUNC($AA$5,-3))))</f>
        <v>0</v>
      </c>
    </row>
    <row r="88" spans="3:29" ht="15" customHeight="1" x14ac:dyDescent="0.15">
      <c r="C88" s="182"/>
      <c r="D88" s="210"/>
      <c r="E88" s="184"/>
      <c r="F88" s="227"/>
      <c r="G88" s="297" t="str">
        <f ca="1">IF(OR(AC$8=0,L88="b"),"",IF(L88="l",0,"("&amp;FIXED(-F88,K89,0)&amp;M88))</f>
        <v/>
      </c>
      <c r="H88" s="183"/>
      <c r="I88" s="185"/>
      <c r="L88" t="str">
        <f t="shared" ca="1" si="15"/>
        <v>b</v>
      </c>
      <c r="M88" t="str">
        <f>")"&amp;REPT(" ",2-K89)&amp;IF(K89=0," ","")</f>
        <v xml:space="preserve">)   </v>
      </c>
      <c r="O88" s="194"/>
      <c r="P88" s="207">
        <f>D88</f>
        <v>0</v>
      </c>
      <c r="Q88" s="207">
        <f t="shared" si="16"/>
        <v>0</v>
      </c>
      <c r="R88" s="300" t="str">
        <f t="shared" ca="1" si="17"/>
        <v/>
      </c>
      <c r="S88" s="304"/>
      <c r="T88" s="369"/>
      <c r="U88" s="206">
        <f ca="1">IF(OR(AC$8=0,SUM(Z89:AC89)=0),1,IF(L88="l","",SUM(AB89:AC89)))</f>
        <v>1</v>
      </c>
      <c r="V88" s="387"/>
      <c r="W88" s="50"/>
      <c r="Z88"/>
    </row>
    <row r="89" spans="3:29" ht="15" customHeight="1" x14ac:dyDescent="0.15">
      <c r="C89" s="186"/>
      <c r="D89" s="205"/>
      <c r="E89" s="188"/>
      <c r="F89" s="226"/>
      <c r="G89" s="296" t="str">
        <f ca="1">IF(L89="b","",IF(L89="l",0,FIXED(F89,K89,0)&amp;M89))</f>
        <v/>
      </c>
      <c r="H89" s="187"/>
      <c r="I89" s="189"/>
      <c r="K89" s="215"/>
      <c r="L89" t="str">
        <f t="shared" ca="1" si="15"/>
        <v>b</v>
      </c>
      <c r="M89" t="str">
        <f>REPT(" ",3-K89)&amp;IF(K89=0," ","")</f>
        <v xml:space="preserve">    </v>
      </c>
      <c r="O89" s="194"/>
      <c r="P89" s="208">
        <f>IF(ISNUMBER(D89),LOOKUP(D89,$AB$5:$AC$7),D89)</f>
        <v>0</v>
      </c>
      <c r="Q89" s="208">
        <f t="shared" si="16"/>
        <v>0</v>
      </c>
      <c r="R89" s="301" t="str">
        <f t="shared" ca="1" si="17"/>
        <v/>
      </c>
      <c r="S89" s="305">
        <f>H89</f>
        <v>0</v>
      </c>
      <c r="T89" s="370"/>
      <c r="U89" s="216">
        <f ca="1">IF(L89="l","",IF(D89+F89&gt;0,SUM(Z89:AA89),-1))</f>
        <v>-1</v>
      </c>
      <c r="V89" s="454"/>
      <c r="W89" s="107"/>
      <c r="Z89" s="114">
        <f>IF(D89&gt;0,0,TRUNC(F89*T89+Y89*X89))</f>
        <v>0</v>
      </c>
      <c r="AA89" t="b">
        <f>IF($D89=1,SUM(Z$13:Z87)-SUM(AA$13:AA87),IF($D89=2,$AA$6,IF($D89=3,TRUNC($AA$6,-3))))</f>
        <v>0</v>
      </c>
      <c r="AB89">
        <f ca="1">IF(OR(AC$8=0,L88="l",D89&gt;0,U89=-1),0,IF(L88="b",-U89,TRUNC(F88*T89)))</f>
        <v>0</v>
      </c>
      <c r="AC89" t="b">
        <f>IF($D89=1,SUM(AB$13:AB87)-SUM(AC$13:AC87),IF($D89=2,$AA$5,IF($D89=3,TRUNC($AA$5,-3))))</f>
        <v>0</v>
      </c>
    </row>
    <row r="90" spans="3:29" ht="15" customHeight="1" x14ac:dyDescent="0.15">
      <c r="C90" s="182"/>
      <c r="D90" s="210"/>
      <c r="E90" s="184"/>
      <c r="F90" s="227"/>
      <c r="G90" s="297" t="str">
        <f ca="1">IF(OR(AC$8=0,L90="b"),"",IF(L90="l",0,"("&amp;FIXED(-F90,K91,0)&amp;M90))</f>
        <v/>
      </c>
      <c r="H90" s="183"/>
      <c r="I90" s="185"/>
      <c r="L90" t="str">
        <f t="shared" ca="1" si="15"/>
        <v>b</v>
      </c>
      <c r="M90" t="str">
        <f>")"&amp;REPT(" ",2-K91)&amp;IF(K91=0," ","")</f>
        <v xml:space="preserve">)   </v>
      </c>
      <c r="O90" s="194"/>
      <c r="P90" s="207">
        <f>D90</f>
        <v>0</v>
      </c>
      <c r="Q90" s="207">
        <f t="shared" si="16"/>
        <v>0</v>
      </c>
      <c r="R90" s="300" t="str">
        <f t="shared" ca="1" si="17"/>
        <v/>
      </c>
      <c r="S90" s="304"/>
      <c r="T90" s="369"/>
      <c r="U90" s="206">
        <f ca="1">IF(OR(AC$8=0,SUM(Z91:AC91)=0),1,IF(L90="l","",SUM(AB91:AC91)))</f>
        <v>1</v>
      </c>
      <c r="V90" s="387"/>
      <c r="W90" s="50"/>
      <c r="Z90"/>
    </row>
    <row r="91" spans="3:29" ht="15" customHeight="1" x14ac:dyDescent="0.15">
      <c r="C91" s="186"/>
      <c r="D91" s="205"/>
      <c r="E91" s="188"/>
      <c r="F91" s="226"/>
      <c r="G91" s="296" t="str">
        <f ca="1">IF(L91="b","",IF(L91="l",0,FIXED(F91,K91,0)&amp;M91))</f>
        <v/>
      </c>
      <c r="H91" s="187"/>
      <c r="I91" s="189"/>
      <c r="K91" s="215"/>
      <c r="L91" t="str">
        <f t="shared" ca="1" si="15"/>
        <v>b</v>
      </c>
      <c r="M91" t="str">
        <f>REPT(" ",3-K91)&amp;IF(K91=0," ","")</f>
        <v xml:space="preserve">    </v>
      </c>
      <c r="O91" s="194"/>
      <c r="P91" s="208">
        <f>IF(ISNUMBER(D91),LOOKUP(D91,$AB$5:$AC$7),D91)</f>
        <v>0</v>
      </c>
      <c r="Q91" s="208">
        <f t="shared" si="16"/>
        <v>0</v>
      </c>
      <c r="R91" s="301" t="str">
        <f t="shared" ca="1" si="17"/>
        <v/>
      </c>
      <c r="S91" s="305">
        <f>H91</f>
        <v>0</v>
      </c>
      <c r="T91" s="370"/>
      <c r="U91" s="216">
        <f ca="1">IF(L91="l","",IF(D91+F91&gt;0,SUM(Z91:AA91),-1))</f>
        <v>-1</v>
      </c>
      <c r="V91" s="454"/>
      <c r="W91" s="107"/>
      <c r="Z91" s="114">
        <f>IF(D91&gt;0,0,TRUNC(F91*T91+Y91*X91))</f>
        <v>0</v>
      </c>
      <c r="AA91" t="b">
        <f>IF($D91=1,SUM(Z$13:Z89)-SUM(AA$13:AA89),IF($D91=2,$AA$6,IF($D91=3,TRUNC($AA$6,-3))))</f>
        <v>0</v>
      </c>
      <c r="AB91">
        <f ca="1">IF(OR(AC$8=0,L90="l",D91&gt;0,U91=-1),0,IF(L90="b",-U91,TRUNC(F90*T91)))</f>
        <v>0</v>
      </c>
      <c r="AC91" t="b">
        <f>IF($D91=1,SUM(AB$13:AB89)-SUM(AC$13:AC89),IF($D91=2,$AA$5,IF($D91=3,TRUNC($AA$5,-3))))</f>
        <v>0</v>
      </c>
    </row>
    <row r="92" spans="3:29" ht="15" customHeight="1" x14ac:dyDescent="0.15">
      <c r="C92" s="182"/>
      <c r="D92" s="210"/>
      <c r="E92" s="184"/>
      <c r="F92" s="227"/>
      <c r="G92" s="297" t="str">
        <f ca="1">IF(OR(AC$8=0,L92="b"),"",IF(L92="l",0,"("&amp;FIXED(-F92,K93,0)&amp;M92))</f>
        <v/>
      </c>
      <c r="H92" s="183"/>
      <c r="I92" s="185"/>
      <c r="L92" t="str">
        <f t="shared" ca="1" si="15"/>
        <v>b</v>
      </c>
      <c r="M92" t="str">
        <f>")"&amp;REPT(" ",2-K93)&amp;IF(K93=0," ","")</f>
        <v xml:space="preserve">)   </v>
      </c>
      <c r="O92" s="194"/>
      <c r="P92" s="207">
        <f>D92</f>
        <v>0</v>
      </c>
      <c r="Q92" s="207">
        <f t="shared" si="16"/>
        <v>0</v>
      </c>
      <c r="R92" s="300" t="str">
        <f t="shared" ca="1" si="17"/>
        <v/>
      </c>
      <c r="S92" s="304"/>
      <c r="T92" s="149"/>
      <c r="U92" s="206">
        <f ca="1">IF(OR(AC$8=0,SUM(Z93:AC93)=0),1,IF(L92="l","",SUM(AB93:AC93)))</f>
        <v>1</v>
      </c>
      <c r="V92" s="394"/>
      <c r="W92" s="50"/>
      <c r="Z92"/>
    </row>
    <row r="93" spans="3:29" ht="15" customHeight="1" x14ac:dyDescent="0.15">
      <c r="C93" s="186"/>
      <c r="D93" s="205"/>
      <c r="E93" s="188"/>
      <c r="F93" s="226"/>
      <c r="G93" s="296" t="str">
        <f ca="1">IF(L93="b","",IF(L93="l",0,FIXED(F93,K93,0)&amp;M93))</f>
        <v/>
      </c>
      <c r="H93" s="187"/>
      <c r="I93" s="189"/>
      <c r="K93" s="215"/>
      <c r="L93" t="str">
        <f t="shared" ca="1" si="15"/>
        <v>b</v>
      </c>
      <c r="M93" t="str">
        <f>REPT(" ",3-K93)&amp;IF(K93=0," ","")</f>
        <v xml:space="preserve">    </v>
      </c>
      <c r="O93" s="194"/>
      <c r="P93" s="208">
        <f>IF(ISNUMBER(D93),LOOKUP(D93,$AB$5:$AC$7),D93)</f>
        <v>0</v>
      </c>
      <c r="Q93" s="208">
        <f t="shared" si="16"/>
        <v>0</v>
      </c>
      <c r="R93" s="301" t="str">
        <f t="shared" ca="1" si="17"/>
        <v/>
      </c>
      <c r="S93" s="305">
        <f>H93</f>
        <v>0</v>
      </c>
      <c r="T93" s="150"/>
      <c r="U93" s="216">
        <f ca="1">IF(L93="l","",IF(D93+F93&gt;0,SUM(Z93:AA93),-1))</f>
        <v>-1</v>
      </c>
      <c r="V93" s="395"/>
      <c r="W93" s="107"/>
      <c r="Z93" s="114">
        <f>IF(D93&gt;0,0,TRUNC(F93*T93+Y93*X93))</f>
        <v>0</v>
      </c>
      <c r="AA93" t="b">
        <f>IF($D93=1,SUM(Z$13:Z91)-SUM(AA$13:AA91),IF($D93=2,$AA$6,IF($D93=3,TRUNC($AA$6,-3))))</f>
        <v>0</v>
      </c>
      <c r="AB93">
        <f ca="1">IF(OR(AC$8=0,L92="l",D93&gt;0,U93=-1),0,IF(L92="b",-U93,TRUNC(F92*T93)))</f>
        <v>0</v>
      </c>
      <c r="AC93" t="b">
        <f>IF($D93=1,SUM(AB$13:AB91)-SUM(AC$13:AC91),IF($D93=2,$AA$5,IF($D93=3,TRUNC($AA$5,-3))))</f>
        <v>0</v>
      </c>
    </row>
    <row r="94" spans="3:29" ht="15" customHeight="1" x14ac:dyDescent="0.15">
      <c r="C94" s="182"/>
      <c r="D94" s="210"/>
      <c r="E94" s="184"/>
      <c r="F94" s="227"/>
      <c r="G94" s="297" t="str">
        <f ca="1">IF(OR(AC$8=0,L94="b"),"",IF(L94="l",0,"("&amp;FIXED(-F94,K95,0)&amp;M94))</f>
        <v/>
      </c>
      <c r="H94" s="183"/>
      <c r="I94" s="185"/>
      <c r="L94" t="str">
        <f t="shared" ca="1" si="15"/>
        <v>b</v>
      </c>
      <c r="M94" t="str">
        <f>")"&amp;REPT(" ",2-K95)&amp;IF(K95=0," ","")</f>
        <v xml:space="preserve">)   </v>
      </c>
      <c r="O94" s="194"/>
      <c r="P94" s="255">
        <f>D94</f>
        <v>0</v>
      </c>
      <c r="Q94" s="207">
        <f t="shared" si="16"/>
        <v>0</v>
      </c>
      <c r="R94" s="300" t="str">
        <f t="shared" ca="1" si="17"/>
        <v/>
      </c>
      <c r="S94" s="304"/>
      <c r="T94" s="149"/>
      <c r="U94" s="206">
        <f ca="1">IF(OR(AC$8=0,SUM(Z95:AC95)=0),1,IF(L94="l","",SUM(AB95:AC95)))</f>
        <v>1</v>
      </c>
      <c r="V94" s="394"/>
      <c r="W94" s="50"/>
      <c r="Z94"/>
    </row>
    <row r="95" spans="3:29" ht="15" customHeight="1" x14ac:dyDescent="0.15">
      <c r="C95" s="186"/>
      <c r="D95" s="205"/>
      <c r="E95" s="188"/>
      <c r="F95" s="226"/>
      <c r="G95" s="296" t="str">
        <f ca="1">IF(L95="b","",IF(L95="l",0,FIXED(F95,K95,0)&amp;M95))</f>
        <v/>
      </c>
      <c r="H95" s="187"/>
      <c r="I95" s="189"/>
      <c r="K95" s="215"/>
      <c r="L95" t="str">
        <f t="shared" ca="1" si="15"/>
        <v>b</v>
      </c>
      <c r="M95" t="str">
        <f>REPT(" ",3-K95)&amp;IF(K95=0," ","")</f>
        <v xml:space="preserve">    </v>
      </c>
      <c r="O95" s="194"/>
      <c r="P95" s="208">
        <f>IF(ISNUMBER(D95),LOOKUP(D95,$AB$5:$AC$7),D95)</f>
        <v>0</v>
      </c>
      <c r="Q95" s="208">
        <f t="shared" si="16"/>
        <v>0</v>
      </c>
      <c r="R95" s="301" t="str">
        <f t="shared" ca="1" si="17"/>
        <v/>
      </c>
      <c r="S95" s="305">
        <f>H95</f>
        <v>0</v>
      </c>
      <c r="T95" s="150"/>
      <c r="U95" s="216">
        <f ca="1">IF(L95="l","",IF(D95+F95&gt;0,SUM(Z95:AA95),-1))</f>
        <v>-1</v>
      </c>
      <c r="V95" s="395"/>
      <c r="W95" s="107"/>
      <c r="Z95" s="114">
        <f>IF(D95&gt;0,0,TRUNC(F95*T95+Y95*X95))</f>
        <v>0</v>
      </c>
      <c r="AA95" t="b">
        <f>IF($D95=1,SUM(Z$13:Z93)-SUM(AA$13:AA93),IF($D95=2,$AA$6,IF($D95=3,TRUNC($AA$6,-3))))</f>
        <v>0</v>
      </c>
      <c r="AB95">
        <f ca="1">IF(OR(AC$8=0,L94="l",D95&gt;0,U95=-1),0,IF(L94="b",-U95,TRUNC(F94*T95)))</f>
        <v>0</v>
      </c>
      <c r="AC95" t="b">
        <f>IF($D95=1,SUM(AB$13:AB93)-SUM(AC$13:AC93),IF($D95=2,$AA$5,IF($D95=3,TRUNC($AA$5,-3))))</f>
        <v>0</v>
      </c>
    </row>
    <row r="96" spans="3:29" ht="15" customHeight="1" x14ac:dyDescent="0.15">
      <c r="C96" s="182"/>
      <c r="D96" s="210"/>
      <c r="E96" s="184"/>
      <c r="F96" s="227"/>
      <c r="G96" s="297" t="str">
        <f ca="1">IF(OR(AC$8=0,L96="b"),"",IF(L96="l",0,"("&amp;FIXED(-F96,K97,0)&amp;M96))</f>
        <v/>
      </c>
      <c r="H96" s="183"/>
      <c r="I96" s="185"/>
      <c r="L96" t="str">
        <f t="shared" ca="1" si="15"/>
        <v>b</v>
      </c>
      <c r="M96" t="str">
        <f>")"&amp;REPT(" ",2-K97)&amp;IF(K97=0," ","")</f>
        <v xml:space="preserve">)   </v>
      </c>
      <c r="O96" s="194"/>
      <c r="P96" s="255">
        <f>D96</f>
        <v>0</v>
      </c>
      <c r="Q96" s="207">
        <f t="shared" si="16"/>
        <v>0</v>
      </c>
      <c r="R96" s="300" t="str">
        <f t="shared" ca="1" si="17"/>
        <v/>
      </c>
      <c r="S96" s="304"/>
      <c r="T96" s="149"/>
      <c r="U96" s="206">
        <f ca="1">IF(OR(AC$8=0,SUM(Z97:AC97)=0),1,IF(L96="l","",SUM(AB97:AC97)))</f>
        <v>1</v>
      </c>
      <c r="V96" s="394"/>
      <c r="W96" s="50"/>
      <c r="Z96"/>
    </row>
    <row r="97" spans="3:29" ht="15" customHeight="1" x14ac:dyDescent="0.15">
      <c r="C97" s="186"/>
      <c r="D97" s="205"/>
      <c r="E97" s="188"/>
      <c r="F97" s="226"/>
      <c r="G97" s="296" t="str">
        <f ca="1">IF(L97="b","",IF(L97="l",0,FIXED(F97,K97,0)&amp;M97))</f>
        <v/>
      </c>
      <c r="H97" s="187"/>
      <c r="I97" s="189"/>
      <c r="K97" s="215"/>
      <c r="L97" t="str">
        <f t="shared" ca="1" si="15"/>
        <v>b</v>
      </c>
      <c r="M97" t="str">
        <f>REPT(" ",3-K97)&amp;IF(K97=0," ","")</f>
        <v xml:space="preserve">    </v>
      </c>
      <c r="O97" s="194"/>
      <c r="P97" s="208">
        <f>IF(ISNUMBER(D97),LOOKUP(D97,$AB$5:$AC$7),D97)</f>
        <v>0</v>
      </c>
      <c r="Q97" s="208">
        <f t="shared" si="16"/>
        <v>0</v>
      </c>
      <c r="R97" s="301" t="str">
        <f t="shared" ca="1" si="17"/>
        <v/>
      </c>
      <c r="S97" s="305">
        <f>H97</f>
        <v>0</v>
      </c>
      <c r="T97" s="150"/>
      <c r="U97" s="216">
        <f ca="1">IF(L97="l","",IF(D97+F97&gt;0,SUM(Z97:AA97),-1))</f>
        <v>-1</v>
      </c>
      <c r="V97" s="395"/>
      <c r="W97" s="107"/>
      <c r="Z97" s="114">
        <f>IF(D97&gt;0,0,TRUNC(F97*T97+Y97*X97))</f>
        <v>0</v>
      </c>
      <c r="AA97" t="b">
        <f>IF($D97=1,SUM(Z$13:Z95)-SUM(AA$13:AA95),IF($D97=2,$AA$6,IF($D97=3,TRUNC($AA$6,-3))))</f>
        <v>0</v>
      </c>
      <c r="AB97">
        <f ca="1">IF(OR(AC$8=0,L96="l",D97&gt;0,U97=-1),0,IF(L96="b",-U97,TRUNC(F96*T97)))</f>
        <v>0</v>
      </c>
      <c r="AC97" t="b">
        <f>IF($D97=1,SUM(AB$13:AB95)-SUM(AC$13:AC95),IF($D97=2,$AA$5,IF($D97=3,TRUNC($AA$5,-3))))</f>
        <v>0</v>
      </c>
    </row>
    <row r="98" spans="3:29" ht="15" customHeight="1" x14ac:dyDescent="0.15">
      <c r="C98" s="182"/>
      <c r="D98" s="210"/>
      <c r="E98" s="184"/>
      <c r="F98" s="227"/>
      <c r="G98" s="297" t="str">
        <f ca="1">IF(OR(AC$8=0,L98="b"),"",IF(L98="l",0,"("&amp;FIXED(-F98,K99,0)&amp;M98))</f>
        <v/>
      </c>
      <c r="H98" s="183"/>
      <c r="I98" s="185"/>
      <c r="L98" t="str">
        <f t="shared" ca="1" si="15"/>
        <v>b</v>
      </c>
      <c r="M98" t="str">
        <f>")"&amp;REPT(" ",2-K99)&amp;IF(K99=0," ","")</f>
        <v xml:space="preserve">)   </v>
      </c>
      <c r="O98" s="194"/>
      <c r="P98" s="207">
        <f>D98</f>
        <v>0</v>
      </c>
      <c r="Q98" s="207">
        <f t="shared" si="16"/>
        <v>0</v>
      </c>
      <c r="R98" s="300" t="str">
        <f t="shared" ca="1" si="17"/>
        <v/>
      </c>
      <c r="S98" s="304"/>
      <c r="T98" s="149"/>
      <c r="U98" s="206">
        <f ca="1">IF(OR(AC$8=0,SUM(Z99:AC99)=0),1,IF(L98="l","",SUM(AB99:AC99)))</f>
        <v>1</v>
      </c>
      <c r="V98" s="394"/>
      <c r="W98" s="69"/>
      <c r="Z98"/>
    </row>
    <row r="99" spans="3:29" ht="15" customHeight="1" x14ac:dyDescent="0.15">
      <c r="C99" s="186"/>
      <c r="D99" s="205"/>
      <c r="E99" s="188"/>
      <c r="F99" s="226"/>
      <c r="G99" s="296" t="str">
        <f ca="1">IF(L99="b","",IF(L99="l",0,FIXED(F99,K99,0)&amp;M99))</f>
        <v/>
      </c>
      <c r="H99" s="187"/>
      <c r="I99" s="189"/>
      <c r="K99" s="215"/>
      <c r="L99" t="str">
        <f t="shared" ca="1" si="15"/>
        <v>b</v>
      </c>
      <c r="M99" t="str">
        <f>REPT(" ",3-K99)&amp;IF(K99=0," ","")</f>
        <v xml:space="preserve">    </v>
      </c>
      <c r="O99" s="194"/>
      <c r="P99" s="208">
        <f>IF(ISNUMBER(D99),LOOKUP(D99,$AB$5:$AC$7),D99)</f>
        <v>0</v>
      </c>
      <c r="Q99" s="208">
        <f t="shared" si="16"/>
        <v>0</v>
      </c>
      <c r="R99" s="301" t="str">
        <f t="shared" ca="1" si="17"/>
        <v/>
      </c>
      <c r="S99" s="305">
        <f>H99</f>
        <v>0</v>
      </c>
      <c r="T99" s="150"/>
      <c r="U99" s="216">
        <f ca="1">IF(L99="l","",IF(D99+F99&gt;0,SUM(Z99:AA99),-1))</f>
        <v>-1</v>
      </c>
      <c r="V99" s="395"/>
      <c r="W99" s="141"/>
      <c r="Z99" s="114">
        <f>IF(D99&gt;0,0,TRUNC(F99*T99+Y99*X99))</f>
        <v>0</v>
      </c>
      <c r="AA99" t="b">
        <f>IF($D99=1,SUM(Z$13:Z97)-SUM(AA$13:AA97),IF($D99=2,$AA$6,IF($D99=3,TRUNC($AA$6,-3))))</f>
        <v>0</v>
      </c>
      <c r="AB99">
        <f ca="1">IF(OR(AC$8=0,L98="l",D99&gt;0,U99=-1),0,IF(L98="b",-U99,TRUNC(F98*T99)))</f>
        <v>0</v>
      </c>
      <c r="AC99" t="b">
        <f>IF($D99=1,SUM(AB$13:AB97)-SUM(AC$13:AC97),IF($D99=2,$AA$5,IF($D99=3,TRUNC($AA$5,-3))))</f>
        <v>0</v>
      </c>
    </row>
    <row r="100" spans="3:29" ht="15" customHeight="1" x14ac:dyDescent="0.15">
      <c r="C100" s="182"/>
      <c r="D100" s="210"/>
      <c r="E100" s="184"/>
      <c r="F100" s="227"/>
      <c r="G100" s="297" t="str">
        <f ca="1">IF(OR(AC$8=0,L100="b"),"",IF(L100="l",0,"("&amp;FIXED(-F100,K101,0)&amp;M100))</f>
        <v/>
      </c>
      <c r="H100" s="183"/>
      <c r="I100" s="185"/>
      <c r="L100" t="str">
        <f t="shared" ca="1" si="15"/>
        <v>b</v>
      </c>
      <c r="M100" t="str">
        <f>")"&amp;REPT(" ",2-K101)&amp;IF(K101=0," ","")</f>
        <v xml:space="preserve">)   </v>
      </c>
      <c r="O100" s="194"/>
      <c r="P100" s="207">
        <f>D100</f>
        <v>0</v>
      </c>
      <c r="Q100" s="207">
        <f t="shared" si="16"/>
        <v>0</v>
      </c>
      <c r="R100" s="300" t="str">
        <f t="shared" ca="1" si="17"/>
        <v/>
      </c>
      <c r="S100" s="304"/>
      <c r="T100" s="149"/>
      <c r="U100" s="206">
        <f ca="1">IF(OR(AC$8=0,SUM(Z101:AC101)=0),1,IF(L100="l","",SUM(AB101:AC101)))</f>
        <v>1</v>
      </c>
      <c r="V100" s="394"/>
      <c r="W100" s="50"/>
      <c r="Z100"/>
    </row>
    <row r="101" spans="3:29" ht="15" customHeight="1" x14ac:dyDescent="0.15">
      <c r="C101" s="186"/>
      <c r="D101" s="205"/>
      <c r="E101" s="188"/>
      <c r="F101" s="226"/>
      <c r="G101" s="296" t="str">
        <f ca="1">IF(L101="b","",IF(L101="l",0,FIXED(F101,K101,0)&amp;M101))</f>
        <v/>
      </c>
      <c r="H101" s="187"/>
      <c r="I101" s="189"/>
      <c r="K101" s="215"/>
      <c r="L101" t="str">
        <f t="shared" ca="1" si="15"/>
        <v>b</v>
      </c>
      <c r="M101" t="str">
        <f>REPT(" ",3-K101)&amp;IF(K101=0," ","")</f>
        <v xml:space="preserve">    </v>
      </c>
      <c r="O101" s="194"/>
      <c r="P101" s="208">
        <f>IF(ISNUMBER(D101),LOOKUP(D101,$AB$5:$AC$7),D101)</f>
        <v>0</v>
      </c>
      <c r="Q101" s="208">
        <f t="shared" si="16"/>
        <v>0</v>
      </c>
      <c r="R101" s="301" t="str">
        <f t="shared" ca="1" si="17"/>
        <v/>
      </c>
      <c r="S101" s="305">
        <f>H101</f>
        <v>0</v>
      </c>
      <c r="T101" s="150"/>
      <c r="U101" s="216">
        <f ca="1">IF(L101="l","",IF(D101+F101&gt;0,SUM(Z101:AA101),-1))</f>
        <v>-1</v>
      </c>
      <c r="V101" s="395"/>
      <c r="W101" s="107"/>
      <c r="Z101" s="114">
        <f>IF(D101&gt;0,0,TRUNC(F101*T101+Y101*X101))</f>
        <v>0</v>
      </c>
      <c r="AA101" t="b">
        <f>IF($D101=1,SUM(Z$13:Z99)-SUM(AA$13:AA99),IF($D101=2,$AA$6,IF($D101=3,TRUNC($AA$6,-3))))</f>
        <v>0</v>
      </c>
      <c r="AB101">
        <f ca="1">IF(OR(AC$8=0,L100="l",D101&gt;0,U101=-1),0,IF(L100="b",-U101,TRUNC(F100*T101)))</f>
        <v>0</v>
      </c>
      <c r="AC101" t="b">
        <f>IF($D101=1,SUM(AB$13:AB99)-SUM(AC$13:AC99),IF($D101=2,$AA$5,IF($D101=3,TRUNC($AA$5,-3))))</f>
        <v>0</v>
      </c>
    </row>
    <row r="102" spans="3:29" ht="15" customHeight="1" x14ac:dyDescent="0.15">
      <c r="C102" s="182"/>
      <c r="D102" s="210"/>
      <c r="E102" s="184"/>
      <c r="F102" s="227"/>
      <c r="G102" s="297" t="str">
        <f ca="1">IF(OR(AC$8=0,L102="b"),"",IF(L102="l",0,"("&amp;FIXED(-F102,K103,0)&amp;M102))</f>
        <v/>
      </c>
      <c r="H102" s="183"/>
      <c r="I102" s="185"/>
      <c r="L102" t="str">
        <f t="shared" ca="1" si="15"/>
        <v>b</v>
      </c>
      <c r="M102" t="str">
        <f>")"&amp;REPT(" ",2-K103)&amp;IF(K103=0," ","")</f>
        <v xml:space="preserve">)   </v>
      </c>
      <c r="O102" s="194"/>
      <c r="P102" s="207">
        <f>D102</f>
        <v>0</v>
      </c>
      <c r="Q102" s="207">
        <f t="shared" si="16"/>
        <v>0</v>
      </c>
      <c r="R102" s="300" t="str">
        <f t="shared" ca="1" si="17"/>
        <v/>
      </c>
      <c r="S102" s="304"/>
      <c r="T102" s="149"/>
      <c r="U102" s="206">
        <f ca="1">IF(OR(AC$8=0,SUM(Z103:AC103)=0),1,IF(L102="l","",SUM(AB103:AC103)))</f>
        <v>1</v>
      </c>
      <c r="V102" s="394"/>
      <c r="W102" s="50"/>
      <c r="Z102"/>
    </row>
    <row r="103" spans="3:29" ht="15" customHeight="1" x14ac:dyDescent="0.15">
      <c r="C103" s="186"/>
      <c r="D103" s="205"/>
      <c r="E103" s="188"/>
      <c r="F103" s="226"/>
      <c r="G103" s="296" t="str">
        <f ca="1">IF(L103="b","",IF(L103="l",0,FIXED(F103,K103,0)&amp;M103))</f>
        <v/>
      </c>
      <c r="H103" s="187"/>
      <c r="I103" s="189"/>
      <c r="K103" s="215"/>
      <c r="L103" t="str">
        <f t="shared" ca="1" si="15"/>
        <v>b</v>
      </c>
      <c r="M103" t="str">
        <f>REPT(" ",3-K103)&amp;IF(K103=0," ","")</f>
        <v xml:space="preserve">    </v>
      </c>
      <c r="O103" s="194"/>
      <c r="P103" s="208">
        <f>IF(ISNUMBER(D103),LOOKUP(D103,$AB$5:$AC$7),D103)</f>
        <v>0</v>
      </c>
      <c r="Q103" s="208">
        <f t="shared" si="16"/>
        <v>0</v>
      </c>
      <c r="R103" s="301" t="str">
        <f t="shared" ca="1" si="17"/>
        <v/>
      </c>
      <c r="S103" s="305">
        <f>H103</f>
        <v>0</v>
      </c>
      <c r="T103" s="150"/>
      <c r="U103" s="216">
        <f ca="1">IF(L103="l","",IF(D103+F103&gt;0,SUM(Z103:AA103),-1))</f>
        <v>-1</v>
      </c>
      <c r="V103" s="395"/>
      <c r="W103" s="107"/>
      <c r="Z103" s="114">
        <f>IF(D103&gt;0,0,TRUNC(F103*T103+Y103*X103))</f>
        <v>0</v>
      </c>
      <c r="AA103" t="b">
        <f>IF($D103=1,SUM(Z$13:Z101)-SUM(AA$13:AA101),IF($D103=2,$AA$6,IF($D103=3,TRUNC($AA$6,-3))))</f>
        <v>0</v>
      </c>
      <c r="AB103">
        <f ca="1">IF(OR(AC$8=0,L102="l",D103&gt;0,U103=-1),0,IF(L102="b",-U103,TRUNC(F102*T103)))</f>
        <v>0</v>
      </c>
      <c r="AC103" t="b">
        <f>IF($D103=1,SUM(AB$13:AB101)-SUM(AC$13:AC101),IF($D103=2,$AA$5,IF($D103=3,TRUNC($AA$5,-3))))</f>
        <v>0</v>
      </c>
    </row>
    <row r="104" spans="3:29" ht="15" customHeight="1" x14ac:dyDescent="0.15">
      <c r="C104" s="182"/>
      <c r="D104" s="210"/>
      <c r="E104" s="184"/>
      <c r="F104" s="227"/>
      <c r="G104" s="297" t="str">
        <f ca="1">IF(OR(AC$8=0,L104="b"),"",IF(L104="l",0,"("&amp;FIXED(-F104,K105,0)&amp;M104))</f>
        <v/>
      </c>
      <c r="H104" s="183"/>
      <c r="I104" s="185"/>
      <c r="L104" t="str">
        <f t="shared" ca="1" si="15"/>
        <v>b</v>
      </c>
      <c r="M104" t="str">
        <f>")"&amp;REPT(" ",2-K105)&amp;IF(K105=0," ","")</f>
        <v xml:space="preserve">)   </v>
      </c>
      <c r="O104" s="194"/>
      <c r="P104" s="207">
        <f>D104</f>
        <v>0</v>
      </c>
      <c r="Q104" s="207">
        <f t="shared" si="16"/>
        <v>0</v>
      </c>
      <c r="R104" s="300" t="str">
        <f t="shared" ca="1" si="17"/>
        <v/>
      </c>
      <c r="S104" s="304"/>
      <c r="T104" s="149"/>
      <c r="U104" s="206">
        <f ca="1">IF(OR(AC$8=0,SUM(Z105:AC105)=0),1,IF(L104="l","",SUM(AB105:AC105)))</f>
        <v>1</v>
      </c>
      <c r="V104" s="394"/>
      <c r="W104" s="50"/>
      <c r="Z104"/>
    </row>
    <row r="105" spans="3:29" ht="15" customHeight="1" x14ac:dyDescent="0.15">
      <c r="C105" s="186"/>
      <c r="D105" s="205"/>
      <c r="E105" s="188"/>
      <c r="F105" s="226"/>
      <c r="G105" s="296" t="str">
        <f ca="1">IF(L105="b","",IF(L105="l",0,FIXED(F105,K105,0)&amp;M105))</f>
        <v/>
      </c>
      <c r="H105" s="187"/>
      <c r="I105" s="189"/>
      <c r="K105" s="215"/>
      <c r="L105" t="str">
        <f t="shared" ca="1" si="15"/>
        <v>b</v>
      </c>
      <c r="M105" t="str">
        <f>REPT(" ",3-K105)&amp;IF(K105=0," ","")</f>
        <v xml:space="preserve">    </v>
      </c>
      <c r="O105" s="194"/>
      <c r="P105" s="208">
        <f>IF(ISNUMBER(D105),LOOKUP(D105,$AB$5:$AC$7),D105)</f>
        <v>0</v>
      </c>
      <c r="Q105" s="208">
        <f t="shared" si="16"/>
        <v>0</v>
      </c>
      <c r="R105" s="301" t="str">
        <f t="shared" ca="1" si="17"/>
        <v/>
      </c>
      <c r="S105" s="305">
        <f>H105</f>
        <v>0</v>
      </c>
      <c r="T105" s="150"/>
      <c r="U105" s="216">
        <f ca="1">IF(L105="l","",IF(D105+F105&gt;0,SUM(Z105:AA105),-1))</f>
        <v>-1</v>
      </c>
      <c r="V105" s="395"/>
      <c r="W105" s="107"/>
      <c r="Z105" s="114">
        <f>IF(D105&gt;0,0,TRUNC(F105*T105+Y105*X105))</f>
        <v>0</v>
      </c>
      <c r="AA105" t="b">
        <f>IF($D105=1,SUM(Z$13:Z103)-SUM(AA$13:AA103),IF($D105=2,$AA$6,IF($D105=3,TRUNC($AA$6,-3))))</f>
        <v>0</v>
      </c>
      <c r="AB105">
        <f ca="1">IF(OR(AC$8=0,L104="l",D105&gt;0,U105=-1),0,IF(L104="b",-U105,TRUNC(F104*T105)))</f>
        <v>0</v>
      </c>
      <c r="AC105" t="b">
        <f>IF($D105=1,SUM(AB$13:AB103)-SUM(AC$13:AC103),IF($D105=2,$AA$5,IF($D105=3,TRUNC($AA$5,-3))))</f>
        <v>0</v>
      </c>
    </row>
    <row r="106" spans="3:29" ht="15" customHeight="1" x14ac:dyDescent="0.15">
      <c r="C106" s="182"/>
      <c r="D106" s="210"/>
      <c r="E106" s="184"/>
      <c r="F106" s="227"/>
      <c r="G106" s="297" t="str">
        <f ca="1">IF(OR(AC$8=0,L106="b"),"",IF(L106="l",0,"("&amp;FIXED(-F106,K107,0)&amp;M106))</f>
        <v/>
      </c>
      <c r="H106" s="183"/>
      <c r="I106" s="185"/>
      <c r="L106" t="str">
        <f t="shared" ca="1" si="15"/>
        <v>b</v>
      </c>
      <c r="M106" t="str">
        <f>")"&amp;REPT(" ",2-K107)&amp;IF(K107=0," ","")</f>
        <v xml:space="preserve">)   </v>
      </c>
      <c r="O106" s="194"/>
      <c r="P106" s="207">
        <f>D106</f>
        <v>0</v>
      </c>
      <c r="Q106" s="207">
        <f t="shared" si="16"/>
        <v>0</v>
      </c>
      <c r="R106" s="300" t="str">
        <f t="shared" ca="1" si="17"/>
        <v/>
      </c>
      <c r="S106" s="304"/>
      <c r="T106" s="149"/>
      <c r="U106" s="206">
        <f ca="1">IF(OR(AC$8=0,SUM(Z107:AC107)=0),1,IF(L106="l","",SUM(AB107:AC107)))</f>
        <v>1</v>
      </c>
      <c r="V106" s="394"/>
      <c r="W106" s="50"/>
      <c r="Z106"/>
    </row>
    <row r="107" spans="3:29" ht="15" customHeight="1" x14ac:dyDescent="0.15">
      <c r="C107" s="186"/>
      <c r="D107" s="205"/>
      <c r="E107" s="188"/>
      <c r="F107" s="226"/>
      <c r="G107" s="296" t="str">
        <f ca="1">IF(L107="b","",IF(L107="l",0,FIXED(F107,K107,0)&amp;M107))</f>
        <v/>
      </c>
      <c r="H107" s="187"/>
      <c r="I107" s="189"/>
      <c r="K107" s="215"/>
      <c r="L107" t="str">
        <f t="shared" ca="1" si="15"/>
        <v>b</v>
      </c>
      <c r="M107" t="str">
        <f>REPT(" ",3-K107)&amp;IF(K107=0," ","")</f>
        <v xml:space="preserve">    </v>
      </c>
      <c r="O107" s="194"/>
      <c r="P107" s="208">
        <f>IF(ISNUMBER(D107),LOOKUP(D107,$AB$5:$AC$7),D107)</f>
        <v>0</v>
      </c>
      <c r="Q107" s="208">
        <f t="shared" si="16"/>
        <v>0</v>
      </c>
      <c r="R107" s="301" t="str">
        <f t="shared" ca="1" si="17"/>
        <v/>
      </c>
      <c r="S107" s="305">
        <f>H107</f>
        <v>0</v>
      </c>
      <c r="T107" s="150"/>
      <c r="U107" s="216">
        <f ca="1">IF(L107="l","",IF(D107+F107&gt;0,SUM(Z107:AA107),-1))</f>
        <v>-1</v>
      </c>
      <c r="V107" s="395"/>
      <c r="W107" s="107"/>
      <c r="Z107" s="114">
        <f>IF(D107&gt;0,0,TRUNC(F107*T107+Y107*X107))</f>
        <v>0</v>
      </c>
      <c r="AA107" t="b">
        <f>IF($D107=1,SUM(Z$13:Z105)-SUM(AA$13:AA105),IF($D107=2,$AA$6,IF($D107=3,TRUNC($AA$6,-3))))</f>
        <v>0</v>
      </c>
      <c r="AB107">
        <f ca="1">IF(OR(AC$8=0,L106="l",D107&gt;0,U107=-1),0,IF(L106="b",-U107,TRUNC(F106*T107)))</f>
        <v>0</v>
      </c>
      <c r="AC107" t="b">
        <f>IF($D107=1,SUM(AB$13:AB105)-SUM(AC$13:AC105),IF($D107=2,$AA$5,IF($D107=3,TRUNC($AA$5,-3))))</f>
        <v>0</v>
      </c>
    </row>
    <row r="108" spans="3:29" ht="15" customHeight="1" x14ac:dyDescent="0.15">
      <c r="C108" s="182"/>
      <c r="D108" s="210"/>
      <c r="E108" s="184"/>
      <c r="F108" s="227"/>
      <c r="G108" s="297" t="str">
        <f ca="1">IF(OR(AC$8=0,L108="b"),"",IF(L108="l",0,"("&amp;FIXED(-F108,K109,0)&amp;M108))</f>
        <v/>
      </c>
      <c r="H108" s="183"/>
      <c r="I108" s="185"/>
      <c r="L108" t="str">
        <f t="shared" ca="1" si="15"/>
        <v>b</v>
      </c>
      <c r="M108" t="str">
        <f>")"&amp;REPT(" ",2-K109)&amp;IF(K109=0," ","")</f>
        <v xml:space="preserve">)   </v>
      </c>
      <c r="O108" s="194"/>
      <c r="P108" s="207">
        <f>D108</f>
        <v>0</v>
      </c>
      <c r="Q108" s="207">
        <f t="shared" si="16"/>
        <v>0</v>
      </c>
      <c r="R108" s="300" t="str">
        <f t="shared" ca="1" si="17"/>
        <v/>
      </c>
      <c r="S108" s="304"/>
      <c r="T108" s="149"/>
      <c r="U108" s="206">
        <f ca="1">IF(OR(AC$8=0,SUM(Z109:AC109)=0),1,IF(L108="l","",SUM(AB109:AC109)))</f>
        <v>1</v>
      </c>
      <c r="V108" s="394"/>
      <c r="W108" s="50"/>
      <c r="Z108"/>
    </row>
    <row r="109" spans="3:29" ht="15" customHeight="1" x14ac:dyDescent="0.15">
      <c r="C109" s="186"/>
      <c r="D109" s="205"/>
      <c r="E109" s="188"/>
      <c r="F109" s="226"/>
      <c r="G109" s="296" t="str">
        <f ca="1">IF(L109="b","",IF(L109="l",0,FIXED(F109,K109,0)&amp;M109))</f>
        <v/>
      </c>
      <c r="H109" s="187"/>
      <c r="I109" s="189"/>
      <c r="K109" s="215"/>
      <c r="L109" t="str">
        <f t="shared" ca="1" si="15"/>
        <v>b</v>
      </c>
      <c r="M109" t="str">
        <f>REPT(" ",3-K109)&amp;IF(K109=0," ","")</f>
        <v xml:space="preserve">    </v>
      </c>
      <c r="O109" s="194"/>
      <c r="P109" s="208">
        <f>IF(ISNUMBER(D109),LOOKUP(D109,$AB$5:$AC$7),D109)</f>
        <v>0</v>
      </c>
      <c r="Q109" s="208">
        <f t="shared" si="16"/>
        <v>0</v>
      </c>
      <c r="R109" s="301" t="str">
        <f t="shared" ca="1" si="17"/>
        <v/>
      </c>
      <c r="S109" s="305">
        <f>H109</f>
        <v>0</v>
      </c>
      <c r="T109" s="150"/>
      <c r="U109" s="216">
        <f ca="1">IF(L109="l","",IF(D109+F109&gt;0,SUM(Z109:AA109),-1))</f>
        <v>-1</v>
      </c>
      <c r="V109" s="395"/>
      <c r="W109" s="107"/>
      <c r="Z109" s="114">
        <f>IF(D109&gt;0,0,TRUNC(F109*T109+Y109*X109))</f>
        <v>0</v>
      </c>
      <c r="AA109" t="b">
        <f>IF($D109=1,SUM(Z$13:Z107)-SUM(AA$13:AA107),IF($D109=2,$AA$6,IF($D109=3,TRUNC($AA$6,-3))))</f>
        <v>0</v>
      </c>
      <c r="AB109">
        <f ca="1">IF(OR(AC$8=0,L108="l",D109&gt;0,U109=-1),0,IF(L108="b",-U109,TRUNC(F108*T109)))</f>
        <v>0</v>
      </c>
      <c r="AC109" t="b">
        <f>IF($D109=1,SUM(AB$13:AB107)-SUM(AC$13:AC107),IF($D109=2,$AA$5,IF($D109=3,TRUNC($AA$5,-3))))</f>
        <v>0</v>
      </c>
    </row>
    <row r="110" spans="3:29" ht="15" customHeight="1" x14ac:dyDescent="0.15">
      <c r="C110" s="182"/>
      <c r="D110" s="210"/>
      <c r="E110" s="184"/>
      <c r="F110" s="227"/>
      <c r="G110" s="297" t="str">
        <f ca="1">IF(OR(AC$8=0,L110="b"),"",IF(L110="l",0,"("&amp;FIXED(-F110,K111,0)&amp;M110))</f>
        <v/>
      </c>
      <c r="H110" s="183"/>
      <c r="I110" s="185"/>
      <c r="L110" t="str">
        <f t="shared" ca="1" si="15"/>
        <v>b</v>
      </c>
      <c r="M110" t="str">
        <f>")"&amp;REPT(" ",2-K111)&amp;IF(K111=0," ","")</f>
        <v xml:space="preserve">)   </v>
      </c>
      <c r="O110" s="194"/>
      <c r="P110" s="207">
        <f>D110</f>
        <v>0</v>
      </c>
      <c r="Q110" s="207">
        <f t="shared" si="16"/>
        <v>0</v>
      </c>
      <c r="R110" s="300" t="str">
        <f t="shared" ca="1" si="17"/>
        <v/>
      </c>
      <c r="S110" s="304"/>
      <c r="T110" s="149"/>
      <c r="U110" s="206">
        <f ca="1">IF(OR(AC$8=0,SUM(Z111:AC111)=0),1,IF(L110="l","",SUM(AB111:AC111)))</f>
        <v>1</v>
      </c>
      <c r="V110" s="394"/>
      <c r="W110" s="50"/>
      <c r="Z110"/>
    </row>
    <row r="111" spans="3:29" ht="15" customHeight="1" x14ac:dyDescent="0.15">
      <c r="C111" s="186"/>
      <c r="D111" s="205"/>
      <c r="E111" s="188"/>
      <c r="F111" s="226"/>
      <c r="G111" s="296" t="str">
        <f ca="1">IF(L111="b","",IF(L111="l",0,FIXED(F111,K111,0)&amp;M111))</f>
        <v/>
      </c>
      <c r="H111" s="187"/>
      <c r="I111" s="189"/>
      <c r="K111" s="215"/>
      <c r="L111" t="str">
        <f t="shared" ca="1" si="15"/>
        <v>b</v>
      </c>
      <c r="M111" t="str">
        <f>REPT(" ",3-K111)&amp;IF(K111=0," ","")</f>
        <v xml:space="preserve">    </v>
      </c>
      <c r="O111" s="194"/>
      <c r="P111" s="208">
        <f>IF(ISNUMBER(D111),LOOKUP(D111,$AB$5:$AC$7),D111)</f>
        <v>0</v>
      </c>
      <c r="Q111" s="208">
        <f t="shared" si="16"/>
        <v>0</v>
      </c>
      <c r="R111" s="301" t="str">
        <f t="shared" ca="1" si="17"/>
        <v/>
      </c>
      <c r="S111" s="305">
        <f>H111</f>
        <v>0</v>
      </c>
      <c r="T111" s="150"/>
      <c r="U111" s="216">
        <f ca="1">IF(L111="l","",IF(D111+F111&gt;0,SUM(Z111:AA111),-1))</f>
        <v>-1</v>
      </c>
      <c r="V111" s="395"/>
      <c r="W111" s="107"/>
      <c r="Z111" s="114">
        <f>IF(D111&gt;0,0,TRUNC(F111*T111+Y111*X111))</f>
        <v>0</v>
      </c>
      <c r="AA111" t="b">
        <f>IF($D111=1,SUM(Z$13:Z109)-SUM(AA$13:AA109),IF($D111=2,$AA$6,IF($D111=3,TRUNC($AA$6,-3))))</f>
        <v>0</v>
      </c>
      <c r="AB111">
        <f ca="1">IF(OR(AC$8=0,L110="l",D111&gt;0,U111=-1),0,IF(L110="b",-U111,TRUNC(F110*T111)))</f>
        <v>0</v>
      </c>
      <c r="AC111" t="b">
        <f>IF($D111=1,SUM(AB$13:AB109)-SUM(AC$13:AC109),IF($D111=2,$AA$5,IF($D111=3,TRUNC($AA$5,-3))))</f>
        <v>0</v>
      </c>
    </row>
    <row r="112" spans="3:29" ht="15" customHeight="1" x14ac:dyDescent="0.15">
      <c r="C112" s="182"/>
      <c r="D112" s="210"/>
      <c r="E112" s="184"/>
      <c r="F112" s="227"/>
      <c r="G112" s="297" t="str">
        <f ca="1">IF(OR(AC$8=0,L112="b"),"",IF(L112="l",0,"("&amp;FIXED(-F112,K113,0)&amp;M112))</f>
        <v/>
      </c>
      <c r="H112" s="183"/>
      <c r="I112" s="185"/>
      <c r="L112" t="str">
        <f t="shared" ca="1" si="15"/>
        <v>b</v>
      </c>
      <c r="M112" t="str">
        <f>")"&amp;REPT(" ",2-K113)&amp;IF(K113=0," ","")</f>
        <v xml:space="preserve">)   </v>
      </c>
      <c r="O112" s="194"/>
      <c r="P112" s="207">
        <f>D112</f>
        <v>0</v>
      </c>
      <c r="Q112" s="207">
        <f t="shared" si="16"/>
        <v>0</v>
      </c>
      <c r="R112" s="300" t="str">
        <f t="shared" ca="1" si="17"/>
        <v/>
      </c>
      <c r="S112" s="304"/>
      <c r="T112" s="149"/>
      <c r="U112" s="206">
        <f ca="1">IF(OR(AC$8=0,SUM(Z113:AC113)=0),1,IF(L112="l","",SUM(AB113:AC113)))</f>
        <v>1</v>
      </c>
      <c r="V112" s="394"/>
      <c r="W112" s="50"/>
      <c r="Z112"/>
    </row>
    <row r="113" spans="3:29" ht="15" customHeight="1" x14ac:dyDescent="0.15">
      <c r="C113" s="186"/>
      <c r="D113" s="205"/>
      <c r="E113" s="188"/>
      <c r="F113" s="226"/>
      <c r="G113" s="296" t="str">
        <f ca="1">IF(L113="b","",IF(L113="l",0,FIXED(F113,K113,0)&amp;M113))</f>
        <v/>
      </c>
      <c r="H113" s="187"/>
      <c r="I113" s="189"/>
      <c r="K113" s="215"/>
      <c r="L113" t="str">
        <f t="shared" ca="1" si="15"/>
        <v>b</v>
      </c>
      <c r="M113" t="str">
        <f>REPT(" ",3-K113)&amp;IF(K113=0," ","")</f>
        <v xml:space="preserve">    </v>
      </c>
      <c r="O113" s="194"/>
      <c r="P113" s="208">
        <f>IF(ISNUMBER(D113),LOOKUP(D113,$AB$5:$AC$7),D113)</f>
        <v>0</v>
      </c>
      <c r="Q113" s="208">
        <f t="shared" si="16"/>
        <v>0</v>
      </c>
      <c r="R113" s="301" t="str">
        <f t="shared" ca="1" si="17"/>
        <v/>
      </c>
      <c r="S113" s="305">
        <f>H113</f>
        <v>0</v>
      </c>
      <c r="T113" s="150"/>
      <c r="U113" s="216">
        <f ca="1">IF(L113="l","",IF(D113+F113&gt;0,SUM(Z113:AA113),-1))</f>
        <v>-1</v>
      </c>
      <c r="V113" s="395"/>
      <c r="W113" s="107"/>
      <c r="Z113" s="114">
        <f>IF(D113&gt;0,0,TRUNC(F113*T113+Y113*X113))</f>
        <v>0</v>
      </c>
      <c r="AA113" t="b">
        <f>IF($D113=1,SUM(Z$13:Z111)-SUM(AA$13:AA111),IF($D113=2,$AA$6,IF($D113=3,TRUNC($AA$6,-3))))</f>
        <v>0</v>
      </c>
      <c r="AB113">
        <f ca="1">IF(OR(AC$8=0,L112="l",D113&gt;0,U113=-1),0,IF(L112="b",-U113,TRUNC(F112*T113)))</f>
        <v>0</v>
      </c>
      <c r="AC113" t="b">
        <f>IF($D113=1,SUM(AB$13:AB111)-SUM(AC$13:AC111),IF($D113=2,$AA$5,IF($D113=3,TRUNC($AA$5,-3))))</f>
        <v>0</v>
      </c>
    </row>
    <row r="114" spans="3:29" ht="15" customHeight="1" x14ac:dyDescent="0.15">
      <c r="C114" s="182"/>
      <c r="D114" s="210"/>
      <c r="E114" s="184"/>
      <c r="F114" s="227"/>
      <c r="G114" s="297" t="str">
        <f ca="1">IF(OR(AC$8=0,L114="b"),"",IF(L114="l",0,"("&amp;FIXED(-F114,K115,0)&amp;M114))</f>
        <v/>
      </c>
      <c r="H114" s="183"/>
      <c r="I114" s="185"/>
      <c r="L114" t="str">
        <f t="shared" ca="1" si="15"/>
        <v>b</v>
      </c>
      <c r="M114" t="str">
        <f>")"&amp;REPT(" ",2-K115)&amp;IF(K115=0," ","")</f>
        <v xml:space="preserve">)   </v>
      </c>
      <c r="O114" s="194"/>
      <c r="P114" s="207">
        <f>D114</f>
        <v>0</v>
      </c>
      <c r="Q114" s="207">
        <f t="shared" si="16"/>
        <v>0</v>
      </c>
      <c r="R114" s="300" t="str">
        <f t="shared" ca="1" si="17"/>
        <v/>
      </c>
      <c r="S114" s="304"/>
      <c r="T114" s="149"/>
      <c r="U114" s="206">
        <f ca="1">IF(OR(AC$8=0,SUM(Z115:AC115)=0),1,IF(L114="l","",SUM(AB115:AC115)))</f>
        <v>1</v>
      </c>
      <c r="V114" s="394"/>
      <c r="W114" s="50"/>
      <c r="Z114"/>
    </row>
    <row r="115" spans="3:29" ht="15" customHeight="1" x14ac:dyDescent="0.15">
      <c r="C115" s="186"/>
      <c r="D115" s="205"/>
      <c r="E115" s="188"/>
      <c r="F115" s="226"/>
      <c r="G115" s="296" t="str">
        <f ca="1">IF(L115="b","",IF(L115="l",0,FIXED(F115,K115,0)&amp;M115))</f>
        <v/>
      </c>
      <c r="H115" s="187"/>
      <c r="I115" s="189"/>
      <c r="K115" s="215"/>
      <c r="L115" t="str">
        <f t="shared" ca="1" si="15"/>
        <v>b</v>
      </c>
      <c r="M115" t="str">
        <f>REPT(" ",3-K115)&amp;IF(K115=0," ","")</f>
        <v xml:space="preserve">    </v>
      </c>
      <c r="O115" s="194"/>
      <c r="P115" s="208">
        <f>IF(ISNUMBER(D115),LOOKUP(D115,$AB$5:$AC$7),D115)</f>
        <v>0</v>
      </c>
      <c r="Q115" s="208">
        <f t="shared" si="16"/>
        <v>0</v>
      </c>
      <c r="R115" s="301" t="str">
        <f t="shared" ca="1" si="17"/>
        <v/>
      </c>
      <c r="S115" s="305">
        <f>H115</f>
        <v>0</v>
      </c>
      <c r="T115" s="150"/>
      <c r="U115" s="216">
        <f ca="1">IF(L115="l","",IF(D115+F115&gt;0,SUM(Z115:AA115),-1))</f>
        <v>-1</v>
      </c>
      <c r="V115" s="395"/>
      <c r="W115" s="107"/>
      <c r="Z115" s="114">
        <f>IF(D115&gt;0,0,TRUNC(F115*T115+Y115*X115))</f>
        <v>0</v>
      </c>
      <c r="AA115" t="b">
        <f>IF($D115=1,SUM(Z$13:Z113)-SUM(AA$13:AA113),IF($D115=2,$AA$6,IF($D115=3,TRUNC($AA$6,-3))))</f>
        <v>0</v>
      </c>
      <c r="AB115">
        <f ca="1">IF(OR(AC$8=0,L114="l",D115&gt;0,U115=-1),0,IF(L114="b",-U115,TRUNC(F114*T115)))</f>
        <v>0</v>
      </c>
      <c r="AC115" t="b">
        <f>IF($D115=1,SUM(AB$13:AB113)-SUM(AC$13:AC113),IF($D115=2,$AA$5,IF($D115=3,TRUNC($AA$5,-3))))</f>
        <v>0</v>
      </c>
    </row>
    <row r="116" spans="3:29" ht="15" customHeight="1" x14ac:dyDescent="0.15">
      <c r="C116" s="182"/>
      <c r="D116" s="210"/>
      <c r="E116" s="184"/>
      <c r="F116" s="227"/>
      <c r="G116" s="297" t="str">
        <f ca="1">IF(OR(AC$8=0,L116="b"),"",IF(L116="l",0,"("&amp;FIXED(-F116,K117,0)&amp;M116))</f>
        <v/>
      </c>
      <c r="H116" s="183"/>
      <c r="I116" s="185"/>
      <c r="L116" t="str">
        <f t="shared" ca="1" si="15"/>
        <v>b</v>
      </c>
      <c r="M116" t="str">
        <f>")"&amp;REPT(" ",2-K117)&amp;IF(K117=0," ","")</f>
        <v xml:space="preserve">)   </v>
      </c>
      <c r="O116" s="194"/>
      <c r="P116" s="207">
        <f>D116</f>
        <v>0</v>
      </c>
      <c r="Q116" s="207">
        <f t="shared" si="16"/>
        <v>0</v>
      </c>
      <c r="R116" s="300" t="str">
        <f t="shared" ca="1" si="17"/>
        <v/>
      </c>
      <c r="S116" s="304"/>
      <c r="T116" s="149"/>
      <c r="U116" s="206">
        <f ca="1">IF(OR(AC$8=0,SUM(Z117:AC117)=0),1,IF(L116="l","",SUM(AB117:AC117)))</f>
        <v>1</v>
      </c>
      <c r="V116" s="394"/>
      <c r="W116" s="50"/>
      <c r="Z116"/>
    </row>
    <row r="117" spans="3:29" ht="15" customHeight="1" x14ac:dyDescent="0.15">
      <c r="C117" s="186"/>
      <c r="D117" s="205"/>
      <c r="E117" s="188"/>
      <c r="F117" s="226"/>
      <c r="G117" s="296" t="str">
        <f ca="1">IF(L117="b","",IF(L117="l",0,FIXED(F117,K117,0)&amp;M117))</f>
        <v/>
      </c>
      <c r="H117" s="187"/>
      <c r="I117" s="189"/>
      <c r="K117" s="215"/>
      <c r="L117" t="str">
        <f t="shared" ca="1" si="15"/>
        <v>b</v>
      </c>
      <c r="M117" t="str">
        <f>REPT(" ",3-K117)&amp;IF(K117=0," ","")</f>
        <v xml:space="preserve">    </v>
      </c>
      <c r="O117" s="194"/>
      <c r="P117" s="208">
        <f>IF(ISNUMBER(D117),LOOKUP(D117,$AB$5:$AC$7),D117)</f>
        <v>0</v>
      </c>
      <c r="Q117" s="208">
        <f t="shared" si="16"/>
        <v>0</v>
      </c>
      <c r="R117" s="301" t="str">
        <f t="shared" ca="1" si="17"/>
        <v/>
      </c>
      <c r="S117" s="305">
        <f>H117</f>
        <v>0</v>
      </c>
      <c r="T117" s="150"/>
      <c r="U117" s="216">
        <f ca="1">IF(L117="l","",IF(D117+F117&gt;0,SUM(Z117:AA117),-1))</f>
        <v>-1</v>
      </c>
      <c r="V117" s="395"/>
      <c r="W117" s="107"/>
      <c r="Z117" s="114">
        <f>IF(D117&gt;0,0,TRUNC(F117*T117+Y117*X117))</f>
        <v>0</v>
      </c>
      <c r="AA117" t="b">
        <f>IF($D117=1,SUM(Z$13:Z115)-SUM(AA$13:AA115),IF($D117=2,$AA$6,IF($D117=3,TRUNC($AA$6,-3))))</f>
        <v>0</v>
      </c>
      <c r="AB117">
        <f ca="1">IF(OR(AC$8=0,L116="l",D117&gt;0,U117=-1),0,IF(L116="b",-U117,TRUNC(F116*T117)))</f>
        <v>0</v>
      </c>
      <c r="AC117" t="b">
        <f>IF($D117=1,SUM(AB$13:AB115)-SUM(AC$13:AC115),IF($D117=2,$AA$5,IF($D117=3,TRUNC($AA$5,-3))))</f>
        <v>0</v>
      </c>
    </row>
    <row r="118" spans="3:29" ht="15" customHeight="1" x14ac:dyDescent="0.15">
      <c r="C118" s="182"/>
      <c r="D118" s="210"/>
      <c r="E118" s="184"/>
      <c r="F118" s="227"/>
      <c r="G118" s="297" t="str">
        <f ca="1">IF(OR(AC$8=0,L118="b"),"",IF(L118="l",0,"("&amp;FIXED(-F118,K119,0)&amp;M118))</f>
        <v/>
      </c>
      <c r="H118" s="183"/>
      <c r="I118" s="185"/>
      <c r="L118" t="str">
        <f t="shared" ca="1" si="15"/>
        <v>b</v>
      </c>
      <c r="M118" t="str">
        <f>")"&amp;REPT(" ",2-K119)&amp;IF(K119=0," ","")</f>
        <v xml:space="preserve">)   </v>
      </c>
      <c r="O118" s="194"/>
      <c r="P118" s="207">
        <f>D118</f>
        <v>0</v>
      </c>
      <c r="Q118" s="207">
        <f t="shared" si="16"/>
        <v>0</v>
      </c>
      <c r="R118" s="300" t="str">
        <f t="shared" ca="1" si="17"/>
        <v/>
      </c>
      <c r="S118" s="304"/>
      <c r="T118" s="149"/>
      <c r="U118" s="206">
        <f ca="1">IF(OR(AC$8=0,SUM(Z119:AC119)=0),1,IF(L118="l","",SUM(AB119:AC119)))</f>
        <v>1</v>
      </c>
      <c r="V118" s="394"/>
      <c r="W118" s="50"/>
      <c r="Z118"/>
    </row>
    <row r="119" spans="3:29" ht="15" customHeight="1" x14ac:dyDescent="0.15">
      <c r="C119" s="186"/>
      <c r="D119" s="205"/>
      <c r="E119" s="188"/>
      <c r="F119" s="226"/>
      <c r="G119" s="296" t="str">
        <f ca="1">IF(L119="b","",IF(L119="l",0,FIXED(F119,K119,0)&amp;M119))</f>
        <v/>
      </c>
      <c r="H119" s="187"/>
      <c r="I119" s="189"/>
      <c r="K119" s="215"/>
      <c r="L119" t="str">
        <f t="shared" ca="1" si="15"/>
        <v>b</v>
      </c>
      <c r="M119" t="str">
        <f>REPT(" ",3-K119)&amp;IF(K119=0," ","")</f>
        <v xml:space="preserve">    </v>
      </c>
      <c r="O119" s="194"/>
      <c r="P119" s="208">
        <f>IF(ISNUMBER(D119),LOOKUP(D119,$AB$5:$AC$7),D119)</f>
        <v>0</v>
      </c>
      <c r="Q119" s="208">
        <f t="shared" si="16"/>
        <v>0</v>
      </c>
      <c r="R119" s="301" t="str">
        <f t="shared" ca="1" si="17"/>
        <v/>
      </c>
      <c r="S119" s="305">
        <f>H119</f>
        <v>0</v>
      </c>
      <c r="T119" s="150"/>
      <c r="U119" s="216">
        <f ca="1">IF(L119="l","",IF(D119+F119&gt;0,SUM(Z119:AA119),-1))</f>
        <v>-1</v>
      </c>
      <c r="V119" s="395"/>
      <c r="W119" s="107"/>
      <c r="Z119" s="114">
        <f>IF(D119&gt;0,0,TRUNC(F119*T119+Y119*X119))</f>
        <v>0</v>
      </c>
      <c r="AA119" t="b">
        <f>IF($D119=1,SUM(Z$13:Z117)-SUM(AA$13:AA117),IF($D119=2,$AA$6,IF($D119=3,TRUNC($AA$6,-3))))</f>
        <v>0</v>
      </c>
      <c r="AB119">
        <f ca="1">IF(OR(AC$8=0,L118="l",D119&gt;0,U119=-1),0,IF(L118="b",-U119,TRUNC(F118*T119)))</f>
        <v>0</v>
      </c>
      <c r="AC119" t="b">
        <f>IF($D119=1,SUM(AB$13:AB117)-SUM(AC$13:AC117),IF($D119=2,$AA$5,IF($D119=3,TRUNC($AA$5,-3))))</f>
        <v>0</v>
      </c>
    </row>
    <row r="120" spans="3:29" ht="15" customHeight="1" x14ac:dyDescent="0.15">
      <c r="C120" s="182"/>
      <c r="D120" s="210"/>
      <c r="E120" s="184"/>
      <c r="F120" s="227"/>
      <c r="G120" s="297" t="str">
        <f ca="1">IF(OR(AC$8=0,L120="b"),"",IF(L120="l",0,"("&amp;FIXED(-F120,K121,0)&amp;M120))</f>
        <v/>
      </c>
      <c r="H120" s="183"/>
      <c r="I120" s="185"/>
      <c r="L120" t="str">
        <f t="shared" ca="1" si="15"/>
        <v>b</v>
      </c>
      <c r="M120" t="str">
        <f>")"&amp;REPT(" ",2-K121)&amp;IF(K121=0," ","")</f>
        <v xml:space="preserve">)   </v>
      </c>
      <c r="O120" s="194"/>
      <c r="P120" s="207">
        <f>D120</f>
        <v>0</v>
      </c>
      <c r="Q120" s="207">
        <f t="shared" si="16"/>
        <v>0</v>
      </c>
      <c r="R120" s="300" t="str">
        <f t="shared" ca="1" si="17"/>
        <v/>
      </c>
      <c r="S120" s="304"/>
      <c r="T120" s="149"/>
      <c r="U120" s="206">
        <f ca="1">IF(OR(AC$8=0,SUM(Z121:AC121)=0),1,IF(L120="l","",SUM(AB121:AC121)))</f>
        <v>1</v>
      </c>
      <c r="V120" s="394"/>
      <c r="W120" s="50"/>
      <c r="Z120"/>
    </row>
    <row r="121" spans="3:29" ht="15" customHeight="1" x14ac:dyDescent="0.15">
      <c r="C121" s="186"/>
      <c r="D121" s="205"/>
      <c r="E121" s="188"/>
      <c r="F121" s="226"/>
      <c r="G121" s="296" t="str">
        <f ca="1">IF(L121="b","",IF(L121="l",0,FIXED(F121,K121,0)&amp;M121))</f>
        <v/>
      </c>
      <c r="H121" s="187"/>
      <c r="I121" s="189"/>
      <c r="K121" s="215"/>
      <c r="L121" t="str">
        <f t="shared" ca="1" si="15"/>
        <v>b</v>
      </c>
      <c r="M121" t="str">
        <f>REPT(" ",3-K121)&amp;IF(K121=0," ","")</f>
        <v xml:space="preserve">    </v>
      </c>
      <c r="O121" s="194"/>
      <c r="P121" s="208">
        <f>IF(ISNUMBER(D121),LOOKUP(D121,$AB$5:$AC$7),D121)</f>
        <v>0</v>
      </c>
      <c r="Q121" s="208">
        <f t="shared" si="16"/>
        <v>0</v>
      </c>
      <c r="R121" s="301" t="str">
        <f t="shared" ca="1" si="17"/>
        <v/>
      </c>
      <c r="S121" s="305">
        <f>H121</f>
        <v>0</v>
      </c>
      <c r="T121" s="150"/>
      <c r="U121" s="216">
        <f ca="1">IF(L121="l","",IF(D121+F121&gt;0,SUM(Z121:AA121),-1))</f>
        <v>-1</v>
      </c>
      <c r="V121" s="395"/>
      <c r="W121" s="107"/>
      <c r="Z121" s="114">
        <f>IF(D121&gt;0,0,TRUNC(F121*T121+Y121*X121))</f>
        <v>0</v>
      </c>
      <c r="AA121" t="b">
        <f>IF($D121=1,SUM(Z$13:Z119)-SUM(AA$13:AA119),IF($D121=2,$AA$6,IF($D121=3,TRUNC($AA$6,-3))))</f>
        <v>0</v>
      </c>
      <c r="AB121">
        <f ca="1">IF(OR(AC$8=0,L120="l",D121&gt;0,U121=-1),0,IF(L120="b",-U121,TRUNC(F120*T121)))</f>
        <v>0</v>
      </c>
      <c r="AC121" t="b">
        <f>IF($D121=1,SUM(AB$13:AB119)-SUM(AC$13:AC119),IF($D121=2,$AA$5,IF($D121=3,TRUNC($AA$5,-3))))</f>
        <v>0</v>
      </c>
    </row>
    <row r="122" spans="3:29" ht="15" customHeight="1" x14ac:dyDescent="0.15">
      <c r="C122" s="182"/>
      <c r="D122" s="210"/>
      <c r="E122" s="184"/>
      <c r="F122" s="227"/>
      <c r="G122" s="297" t="str">
        <f ca="1">IF(OR(AC$8=0,L122="b"),"",IF(L122="l",0,"("&amp;FIXED(-F122,K123,0)&amp;M122))</f>
        <v/>
      </c>
      <c r="H122" s="183"/>
      <c r="I122" s="185"/>
      <c r="L122" t="str">
        <f t="shared" ca="1" si="15"/>
        <v>b</v>
      </c>
      <c r="M122" t="str">
        <f>")"&amp;REPT(" ",2-K123)&amp;IF(K123=0," ","")</f>
        <v xml:space="preserve">)   </v>
      </c>
      <c r="O122" s="194"/>
      <c r="P122" s="207">
        <f>D122</f>
        <v>0</v>
      </c>
      <c r="Q122" s="207">
        <f t="shared" si="16"/>
        <v>0</v>
      </c>
      <c r="R122" s="300" t="str">
        <f t="shared" ca="1" si="17"/>
        <v/>
      </c>
      <c r="S122" s="304"/>
      <c r="T122" s="149"/>
      <c r="U122" s="206">
        <f ca="1">IF(OR(AC$8=0,SUM(Z123:AC123)=0),1,IF(L122="l","",SUM(AB123:AC123)))</f>
        <v>1</v>
      </c>
      <c r="V122" s="394"/>
      <c r="W122" s="50"/>
      <c r="Z122"/>
    </row>
    <row r="123" spans="3:29" ht="15" customHeight="1" x14ac:dyDescent="0.15">
      <c r="C123" s="186"/>
      <c r="D123" s="205"/>
      <c r="E123" s="188"/>
      <c r="F123" s="226"/>
      <c r="G123" s="296" t="str">
        <f ca="1">IF(L123="b","",IF(L123="l",0,FIXED(F123,K123,0)&amp;M123))</f>
        <v/>
      </c>
      <c r="H123" s="187"/>
      <c r="I123" s="189"/>
      <c r="K123" s="215"/>
      <c r="L123" t="str">
        <f t="shared" ca="1" si="15"/>
        <v>b</v>
      </c>
      <c r="M123" t="str">
        <f>REPT(" ",3-K123)&amp;IF(K123=0," ","")</f>
        <v xml:space="preserve">    </v>
      </c>
      <c r="O123" s="194"/>
      <c r="P123" s="208">
        <f>IF(ISNUMBER(D123),LOOKUP(D123,$AB$5:$AC$7),D123)</f>
        <v>0</v>
      </c>
      <c r="Q123" s="208">
        <f t="shared" si="16"/>
        <v>0</v>
      </c>
      <c r="R123" s="301" t="str">
        <f t="shared" ca="1" si="17"/>
        <v/>
      </c>
      <c r="S123" s="305">
        <f>H123</f>
        <v>0</v>
      </c>
      <c r="T123" s="150"/>
      <c r="U123" s="216">
        <f ca="1">IF(L123="l","",IF(D123+F123&gt;0,SUM(Z123:AA123),-1))</f>
        <v>-1</v>
      </c>
      <c r="V123" s="395"/>
      <c r="W123" s="107"/>
      <c r="Z123" s="114">
        <f>IF(D123&gt;0,0,TRUNC(F123*T123+Y123*X123))</f>
        <v>0</v>
      </c>
      <c r="AA123" t="b">
        <f>IF($D123=1,SUM(Z$13:Z121)-SUM(AA$13:AA121),IF($D123=2,$AA$6,IF($D123=3,TRUNC($AA$6,-3))))</f>
        <v>0</v>
      </c>
      <c r="AB123">
        <f ca="1">IF(OR(AC$8=0,L122="l",D123&gt;0,U123=-1),0,IF(L122="b",-U123,TRUNC(F122*T123)))</f>
        <v>0</v>
      </c>
      <c r="AC123" t="b">
        <f>IF($D123=1,SUM(AB$13:AB121)-SUM(AC$13:AC121),IF($D123=2,$AA$5,IF($D123=3,TRUNC($AA$5,-3))))</f>
        <v>0</v>
      </c>
    </row>
    <row r="124" spans="3:29" ht="15" customHeight="1" x14ac:dyDescent="0.15">
      <c r="C124" s="182"/>
      <c r="D124" s="210"/>
      <c r="E124" s="184"/>
      <c r="F124" s="227"/>
      <c r="G124" s="297" t="str">
        <f ca="1">IF(OR(AC$8=0,L124="b"),"",IF(L124="l",0,"("&amp;FIXED(-F124,K125,0)&amp;M124))</f>
        <v/>
      </c>
      <c r="H124" s="183"/>
      <c r="I124" s="185"/>
      <c r="L124" t="str">
        <f t="shared" ca="1" si="15"/>
        <v>b</v>
      </c>
      <c r="M124" t="str">
        <f>")"&amp;REPT(" ",2-K125)&amp;IF(K125=0," ","")</f>
        <v xml:space="preserve">)   </v>
      </c>
      <c r="O124" s="194"/>
      <c r="P124" s="207">
        <f>D124</f>
        <v>0</v>
      </c>
      <c r="Q124" s="207">
        <f t="shared" si="16"/>
        <v>0</v>
      </c>
      <c r="R124" s="300" t="str">
        <f t="shared" ca="1" si="17"/>
        <v/>
      </c>
      <c r="S124" s="304"/>
      <c r="T124" s="149"/>
      <c r="U124" s="206">
        <f ca="1">IF(OR(AC$8=0,SUM(Z125:AC125)=0),1,IF(L124="l","",SUM(AB125:AC125)))</f>
        <v>1</v>
      </c>
      <c r="V124" s="394"/>
      <c r="W124" s="50"/>
      <c r="Z124"/>
    </row>
    <row r="125" spans="3:29" ht="15" customHeight="1" x14ac:dyDescent="0.15">
      <c r="C125" s="186"/>
      <c r="D125" s="205"/>
      <c r="E125" s="188"/>
      <c r="F125" s="226"/>
      <c r="G125" s="296" t="str">
        <f ca="1">IF(L125="b","",IF(L125="l",0,FIXED(F125,K125,0)&amp;M125))</f>
        <v/>
      </c>
      <c r="H125" s="187"/>
      <c r="I125" s="189"/>
      <c r="K125" s="215"/>
      <c r="L125" t="str">
        <f t="shared" ca="1" si="15"/>
        <v>b</v>
      </c>
      <c r="M125" t="str">
        <f>REPT(" ",3-K125)&amp;IF(K125=0," ","")</f>
        <v xml:space="preserve">    </v>
      </c>
      <c r="O125" s="194"/>
      <c r="P125" s="208">
        <f>IF(ISNUMBER(D125),LOOKUP(D125,$AB$5:$AC$7),D125)</f>
        <v>0</v>
      </c>
      <c r="Q125" s="208">
        <f t="shared" si="16"/>
        <v>0</v>
      </c>
      <c r="R125" s="301" t="str">
        <f t="shared" ca="1" si="17"/>
        <v/>
      </c>
      <c r="S125" s="305">
        <f>H125</f>
        <v>0</v>
      </c>
      <c r="T125" s="150"/>
      <c r="U125" s="216">
        <f ca="1">IF(L125="l","",IF(D125+F125&gt;0,SUM(Z125:AA125),-1))</f>
        <v>-1</v>
      </c>
      <c r="V125" s="395"/>
      <c r="W125" s="107"/>
      <c r="Z125" s="114">
        <f>IF(D125&gt;0,0,TRUNC(F125*T125+Y125*X125))</f>
        <v>0</v>
      </c>
      <c r="AA125" t="b">
        <f>IF($D125=1,SUM(Z$13:Z123)-SUM(AA$13:AA123),IF($D125=2,$AA$6,IF($D125=3,TRUNC($AA$6,-3))))</f>
        <v>0</v>
      </c>
      <c r="AB125">
        <f ca="1">IF(OR(AC$8=0,L124="l",D125&gt;0,U125=-1),0,IF(L124="b",-U125,TRUNC(F124*T125)))</f>
        <v>0</v>
      </c>
      <c r="AC125" t="b">
        <f>IF($D125=1,SUM(AB$13:AB123)-SUM(AC$13:AC123),IF($D125=2,$AA$5,IF($D125=3,TRUNC($AA$5,-3))))</f>
        <v>0</v>
      </c>
    </row>
    <row r="126" spans="3:29" ht="15" customHeight="1" x14ac:dyDescent="0.15">
      <c r="C126" s="182"/>
      <c r="D126" s="210"/>
      <c r="E126" s="184"/>
      <c r="F126" s="227"/>
      <c r="G126" s="297" t="str">
        <f ca="1">IF(OR(AC$8=0,L126="b"),"",IF(L126="l",0,"("&amp;FIXED(-F126,K127,0)&amp;M126))</f>
        <v/>
      </c>
      <c r="H126" s="183"/>
      <c r="I126" s="185"/>
      <c r="L126" t="str">
        <f t="shared" ca="1" si="15"/>
        <v>b</v>
      </c>
      <c r="M126" t="str">
        <f>")"&amp;REPT(" ",2-K127)&amp;IF(K127=0," ","")</f>
        <v xml:space="preserve">)   </v>
      </c>
      <c r="O126" s="194"/>
      <c r="P126" s="207">
        <f>D126</f>
        <v>0</v>
      </c>
      <c r="Q126" s="207">
        <f t="shared" si="16"/>
        <v>0</v>
      </c>
      <c r="R126" s="300" t="str">
        <f t="shared" ca="1" si="17"/>
        <v/>
      </c>
      <c r="S126" s="304"/>
      <c r="T126" s="149"/>
      <c r="U126" s="206">
        <f ca="1">IF(OR(AC$8=0,SUM(Z127:AC127)=0),1,IF(L126="l","",SUM(AB127:AC127)))</f>
        <v>1</v>
      </c>
      <c r="V126" s="394"/>
      <c r="W126" s="50"/>
      <c r="Z126"/>
    </row>
    <row r="127" spans="3:29" ht="15" customHeight="1" x14ac:dyDescent="0.15">
      <c r="C127" s="186"/>
      <c r="D127" s="205"/>
      <c r="E127" s="188"/>
      <c r="F127" s="226"/>
      <c r="G127" s="296" t="str">
        <f ca="1">IF(L127="b","",IF(L127="l",0,FIXED(F127,K127,0)&amp;M127))</f>
        <v/>
      </c>
      <c r="H127" s="187"/>
      <c r="I127" s="189"/>
      <c r="K127" s="215"/>
      <c r="L127" t="str">
        <f t="shared" ca="1" si="15"/>
        <v>b</v>
      </c>
      <c r="M127" t="str">
        <f>REPT(" ",3-K127)&amp;IF(K127=0," ","")</f>
        <v xml:space="preserve">    </v>
      </c>
      <c r="O127" s="194"/>
      <c r="P127" s="208">
        <f>IF(ISNUMBER(D127),LOOKUP(D127,$AB$5:$AC$7),D127)</f>
        <v>0</v>
      </c>
      <c r="Q127" s="208">
        <f t="shared" si="16"/>
        <v>0</v>
      </c>
      <c r="R127" s="301" t="str">
        <f t="shared" ca="1" si="17"/>
        <v/>
      </c>
      <c r="S127" s="305">
        <f>H127</f>
        <v>0</v>
      </c>
      <c r="T127" s="150"/>
      <c r="U127" s="216">
        <f ca="1">IF(L127="l","",IF(D127+F127&gt;0,SUM(Z127:AA127),-1))</f>
        <v>-1</v>
      </c>
      <c r="V127" s="395"/>
      <c r="W127" s="107"/>
      <c r="Z127" s="114">
        <f>IF(D127&gt;0,0,TRUNC(F127*T127+Y127*X127))</f>
        <v>0</v>
      </c>
      <c r="AA127" t="b">
        <f>IF($D127=1,SUM(Z$13:Z125)-SUM(AA$13:AA125),IF($D127=2,$AA$6,IF($D127=3,TRUNC($AA$6,-3))))</f>
        <v>0</v>
      </c>
      <c r="AB127">
        <f ca="1">IF(OR(AC$8=0,L126="l",D127&gt;0,U127=-1),0,IF(L126="b",-U127,TRUNC(F126*T127)))</f>
        <v>0</v>
      </c>
      <c r="AC127" t="b">
        <f>IF($D127=1,SUM(AB$13:AB125)-SUM(AC$13:AC125),IF($D127=2,$AA$5,IF($D127=3,TRUNC($AA$5,-3))))</f>
        <v>0</v>
      </c>
    </row>
    <row r="128" spans="3:29" ht="15" customHeight="1" x14ac:dyDescent="0.15">
      <c r="C128" s="182"/>
      <c r="D128" s="210"/>
      <c r="E128" s="184"/>
      <c r="F128" s="227"/>
      <c r="G128" s="297" t="str">
        <f ca="1">IF(OR(AC$8=0,L128="b"),"",IF(L128="l",0,"("&amp;FIXED(-F128,K129,0)&amp;M128))</f>
        <v/>
      </c>
      <c r="H128" s="183"/>
      <c r="I128" s="185"/>
      <c r="L128" t="str">
        <f t="shared" ca="1" si="15"/>
        <v>b</v>
      </c>
      <c r="M128" t="str">
        <f>")"&amp;REPT(" ",2-K129)&amp;IF(K129=0," ","")</f>
        <v xml:space="preserve">)   </v>
      </c>
      <c r="O128" s="194"/>
      <c r="P128" s="207">
        <f>D128</f>
        <v>0</v>
      </c>
      <c r="Q128" s="207">
        <f t="shared" si="16"/>
        <v>0</v>
      </c>
      <c r="R128" s="300" t="str">
        <f t="shared" ca="1" si="17"/>
        <v/>
      </c>
      <c r="S128" s="304"/>
      <c r="T128" s="149"/>
      <c r="U128" s="206">
        <f ca="1">IF(OR(AC$8=0,SUM(Z129:AC129)=0),1,IF(L128="l","",SUM(AB129:AC129)))</f>
        <v>1</v>
      </c>
      <c r="V128" s="394"/>
      <c r="W128" s="69"/>
      <c r="Z128"/>
    </row>
    <row r="129" spans="3:29" ht="15" customHeight="1" x14ac:dyDescent="0.15">
      <c r="C129" s="186"/>
      <c r="D129" s="205"/>
      <c r="E129" s="188"/>
      <c r="F129" s="226"/>
      <c r="G129" s="296" t="str">
        <f ca="1">IF(L129="b","",IF(L129="l",0,FIXED(F129,K129,0)&amp;M129))</f>
        <v/>
      </c>
      <c r="H129" s="187"/>
      <c r="I129" s="189"/>
      <c r="K129" s="215"/>
      <c r="L129" t="str">
        <f t="shared" ca="1" si="15"/>
        <v>b</v>
      </c>
      <c r="M129" t="str">
        <f>REPT(" ",3-K129)&amp;IF(K129=0," ","")</f>
        <v xml:space="preserve">    </v>
      </c>
      <c r="O129" s="194"/>
      <c r="P129" s="208">
        <f>IF(ISNUMBER(D129),LOOKUP(D129,$AB$5:$AC$7),D129)</f>
        <v>0</v>
      </c>
      <c r="Q129" s="208">
        <f t="shared" si="16"/>
        <v>0</v>
      </c>
      <c r="R129" s="301" t="str">
        <f t="shared" ca="1" si="17"/>
        <v/>
      </c>
      <c r="S129" s="305">
        <f>H129</f>
        <v>0</v>
      </c>
      <c r="T129" s="150"/>
      <c r="U129" s="216">
        <f ca="1">IF(L129="l","",IF(D129+F129&gt;0,SUM(Z129:AA129),-1))</f>
        <v>-1</v>
      </c>
      <c r="V129" s="395"/>
      <c r="W129" s="141"/>
      <c r="Z129" s="114">
        <f>IF(D129&gt;0,0,TRUNC(F129*T129+Y129*X129))</f>
        <v>0</v>
      </c>
      <c r="AA129" t="b">
        <f>IF($D129=1,SUM(Z$13:Z127)-SUM(AA$13:AA127),IF($D129=2,$AA$6,IF($D129=3,TRUNC($AA$6,-3))))</f>
        <v>0</v>
      </c>
      <c r="AB129">
        <f ca="1">IF(OR(AC$8=0,L128="l",D129&gt;0,U129=-1),0,IF(L128="b",-U129,TRUNC(F128*T129)))</f>
        <v>0</v>
      </c>
      <c r="AC129" t="b">
        <f>IF($D129=1,SUM(AB$13:AB127)-SUM(AC$13:AC127),IF($D129=2,$AA$5,IF($D129=3,TRUNC($AA$5,-3))))</f>
        <v>0</v>
      </c>
    </row>
    <row r="130" spans="3:29" ht="15" customHeight="1" x14ac:dyDescent="0.15">
      <c r="C130" s="182"/>
      <c r="D130" s="210"/>
      <c r="E130" s="184"/>
      <c r="F130" s="227"/>
      <c r="G130" s="297" t="str">
        <f ca="1">IF(OR(AC$8=0,L130="b"),"",IF(L130="l",0,"("&amp;FIXED(-F130,K131,0)&amp;M130))</f>
        <v/>
      </c>
      <c r="H130" s="183"/>
      <c r="I130" s="185"/>
      <c r="L130" t="str">
        <f t="shared" ca="1" si="15"/>
        <v>b</v>
      </c>
      <c r="M130" t="str">
        <f>")"&amp;REPT(" ",2-K131)&amp;IF(K131=0," ","")</f>
        <v xml:space="preserve">)   </v>
      </c>
      <c r="O130" s="194"/>
      <c r="P130" s="207">
        <f>D130</f>
        <v>0</v>
      </c>
      <c r="Q130" s="207">
        <f t="shared" si="16"/>
        <v>0</v>
      </c>
      <c r="R130" s="300" t="str">
        <f t="shared" ca="1" si="17"/>
        <v/>
      </c>
      <c r="S130" s="304"/>
      <c r="T130" s="149"/>
      <c r="U130" s="206">
        <f ca="1">IF(OR(AC$8=0,SUM(Z131:AC131)=0),1,IF(L130="l","",SUM(AB131:AC131)))</f>
        <v>1</v>
      </c>
      <c r="V130" s="394"/>
      <c r="W130" s="69"/>
      <c r="Z130"/>
    </row>
    <row r="131" spans="3:29" ht="15" customHeight="1" x14ac:dyDescent="0.15">
      <c r="C131" s="186"/>
      <c r="D131" s="205"/>
      <c r="E131" s="188"/>
      <c r="F131" s="226"/>
      <c r="G131" s="296" t="str">
        <f ca="1">IF(L131="b","",IF(L131="l",0,FIXED(F131,K131,0)&amp;M131))</f>
        <v/>
      </c>
      <c r="H131" s="187"/>
      <c r="I131" s="189"/>
      <c r="K131" s="215"/>
      <c r="L131" t="str">
        <f t="shared" ca="1" si="15"/>
        <v>b</v>
      </c>
      <c r="M131" t="str">
        <f>REPT(" ",3-K131)&amp;IF(K131=0," ","")</f>
        <v xml:space="preserve">    </v>
      </c>
      <c r="O131" s="194"/>
      <c r="P131" s="208">
        <f>IF(ISNUMBER(D131),LOOKUP(D131,$AB$5:$AC$7),D131)</f>
        <v>0</v>
      </c>
      <c r="Q131" s="208">
        <f t="shared" si="16"/>
        <v>0</v>
      </c>
      <c r="R131" s="301" t="str">
        <f t="shared" ca="1" si="17"/>
        <v/>
      </c>
      <c r="S131" s="305">
        <f>H131</f>
        <v>0</v>
      </c>
      <c r="T131" s="150"/>
      <c r="U131" s="216">
        <f ca="1">IF(L131="l","",IF(D131+F131&gt;0,SUM(Z131:AA131),-1))</f>
        <v>-1</v>
      </c>
      <c r="V131" s="395"/>
      <c r="W131" s="141"/>
      <c r="Z131" s="114">
        <f>IF(D131&gt;0,0,TRUNC(F131*T131+Y131*X131))</f>
        <v>0</v>
      </c>
      <c r="AA131" t="b">
        <f>IF($D131=1,SUM(Z$13:Z129)-SUM(AA$13:AA129),IF($D131=2,$AA$6,IF($D131=3,TRUNC($AA$6,-3))))</f>
        <v>0</v>
      </c>
      <c r="AB131">
        <f ca="1">IF(OR(AC$8=0,L130="l",D131&gt;0,U131=-1),0,IF(L130="b",-U131,TRUNC(F130*T131)))</f>
        <v>0</v>
      </c>
      <c r="AC131" t="b">
        <f>IF($D131=1,SUM(AB$13:AB129)-SUM(AC$13:AC129),IF($D131=2,$AA$5,IF($D131=3,TRUNC($AA$5,-3))))</f>
        <v>0</v>
      </c>
    </row>
    <row r="132" spans="3:29" ht="15" customHeight="1" x14ac:dyDescent="0.15">
      <c r="C132" s="182"/>
      <c r="D132" s="210"/>
      <c r="E132" s="184"/>
      <c r="F132" s="227"/>
      <c r="G132" s="297" t="str">
        <f ca="1">IF(OR(AC$8=0,L132="b"),"",IF(L132="l",0,"("&amp;FIXED(-F132,K133,0)&amp;M132))</f>
        <v/>
      </c>
      <c r="H132" s="183"/>
      <c r="I132" s="185"/>
      <c r="L132" t="str">
        <f t="shared" ca="1" si="15"/>
        <v>b</v>
      </c>
      <c r="M132" t="str">
        <f>")"&amp;REPT(" ",2-K133)&amp;IF(K133=0," ","")</f>
        <v xml:space="preserve">)   </v>
      </c>
      <c r="O132" s="194"/>
      <c r="P132" s="207">
        <f>D132</f>
        <v>0</v>
      </c>
      <c r="Q132" s="207">
        <f t="shared" si="16"/>
        <v>0</v>
      </c>
      <c r="R132" s="300" t="str">
        <f t="shared" ca="1" si="17"/>
        <v/>
      </c>
      <c r="S132" s="304"/>
      <c r="T132" s="149"/>
      <c r="U132" s="206">
        <f ca="1">IF(OR(AC$8=0,SUM(Z133:AC133)=0),1,IF(L132="l","",SUM(AB133:AC133)))</f>
        <v>1</v>
      </c>
      <c r="V132" s="394"/>
      <c r="W132" s="50"/>
      <c r="Z132"/>
    </row>
    <row r="133" spans="3:29" ht="15" customHeight="1" x14ac:dyDescent="0.15">
      <c r="C133" s="186"/>
      <c r="D133" s="205"/>
      <c r="E133" s="188"/>
      <c r="F133" s="226"/>
      <c r="G133" s="296" t="str">
        <f ca="1">IF(L133="b","",IF(L133="l",0,FIXED(F133,K133,0)&amp;M133))</f>
        <v/>
      </c>
      <c r="H133" s="187"/>
      <c r="I133" s="189"/>
      <c r="K133" s="215"/>
      <c r="L133" t="str">
        <f t="shared" ca="1" si="15"/>
        <v>b</v>
      </c>
      <c r="M133" t="str">
        <f>REPT(" ",3-K133)&amp;IF(K133=0," ","")</f>
        <v xml:space="preserve">    </v>
      </c>
      <c r="O133" s="194"/>
      <c r="P133" s="208">
        <f>IF(ISNUMBER(D133),LOOKUP(D133,$AB$5:$AC$7),D133)</f>
        <v>0</v>
      </c>
      <c r="Q133" s="208">
        <f t="shared" si="16"/>
        <v>0</v>
      </c>
      <c r="R133" s="301" t="str">
        <f t="shared" ca="1" si="17"/>
        <v/>
      </c>
      <c r="S133" s="305">
        <f>H133</f>
        <v>0</v>
      </c>
      <c r="T133" s="150"/>
      <c r="U133" s="216">
        <f ca="1">IF(L133="l","",IF(D133+F133&gt;0,SUM(Z133:AA133),-1))</f>
        <v>-1</v>
      </c>
      <c r="V133" s="395"/>
      <c r="W133" s="107"/>
      <c r="Z133" s="114">
        <f>IF(D133&gt;0,0,TRUNC(F133*T133+Y133*X133))</f>
        <v>0</v>
      </c>
      <c r="AA133" t="b">
        <f>IF($D133=1,SUM(Z$13:Z131)-SUM(AA$13:AA131),IF($D133=2,$AA$6,IF($D133=3,TRUNC($AA$6,-3))))</f>
        <v>0</v>
      </c>
      <c r="AB133">
        <f ca="1">IF(OR(AC$8=0,L132="l",D133&gt;0,U133=-1),0,IF(L132="b",-U133,TRUNC(F132*T133)))</f>
        <v>0</v>
      </c>
      <c r="AC133" t="b">
        <f>IF($D133=1,SUM(AB$13:AB131)-SUM(AC$13:AC131),IF($D133=2,$AA$5,IF($D133=3,TRUNC($AA$5,-3))))</f>
        <v>0</v>
      </c>
    </row>
    <row r="134" spans="3:29" ht="15" customHeight="1" x14ac:dyDescent="0.15">
      <c r="C134" s="182"/>
      <c r="D134" s="210"/>
      <c r="E134" s="184"/>
      <c r="F134" s="227"/>
      <c r="G134" s="297" t="str">
        <f ca="1">IF(OR(AC$8=0,L134="b"),"",IF(L134="l",0,"("&amp;FIXED(-F134,K135,0)&amp;M134))</f>
        <v/>
      </c>
      <c r="H134" s="183"/>
      <c r="I134" s="185"/>
      <c r="L134" t="str">
        <f t="shared" ca="1" si="15"/>
        <v>b</v>
      </c>
      <c r="M134" t="str">
        <f>")"&amp;REPT(" ",2-K135)&amp;IF(K135=0," ","")</f>
        <v xml:space="preserve">)   </v>
      </c>
      <c r="O134" s="194"/>
      <c r="P134" s="207">
        <f>D134</f>
        <v>0</v>
      </c>
      <c r="Q134" s="207">
        <f t="shared" si="16"/>
        <v>0</v>
      </c>
      <c r="R134" s="300" t="str">
        <f t="shared" ca="1" si="17"/>
        <v/>
      </c>
      <c r="S134" s="304"/>
      <c r="T134" s="149"/>
      <c r="U134" s="206">
        <f ca="1">IF(OR(AC$8=0,SUM(Z135:AC135)=0),1,IF(L134="l","",SUM(AB135:AC135)))</f>
        <v>1</v>
      </c>
      <c r="V134" s="394"/>
      <c r="W134" s="50"/>
      <c r="Z134"/>
    </row>
    <row r="135" spans="3:29" ht="15" customHeight="1" x14ac:dyDescent="0.15">
      <c r="C135" s="186"/>
      <c r="D135" s="205"/>
      <c r="E135" s="188"/>
      <c r="F135" s="226"/>
      <c r="G135" s="296" t="str">
        <f ca="1">IF(L135="b","",IF(L135="l",0,FIXED(F135,K135,0)&amp;M135))</f>
        <v/>
      </c>
      <c r="H135" s="187"/>
      <c r="I135" s="189"/>
      <c r="K135" s="215"/>
      <c r="L135" t="str">
        <f t="shared" ca="1" si="15"/>
        <v>b</v>
      </c>
      <c r="M135" t="str">
        <f>REPT(" ",3-K135)&amp;IF(K135=0," ","")</f>
        <v xml:space="preserve">    </v>
      </c>
      <c r="O135" s="194"/>
      <c r="P135" s="208">
        <f>IF(ISNUMBER(D135),LOOKUP(D135,$AB$5:$AC$7),D135)</f>
        <v>0</v>
      </c>
      <c r="Q135" s="208">
        <f t="shared" si="16"/>
        <v>0</v>
      </c>
      <c r="R135" s="301" t="str">
        <f t="shared" ca="1" si="17"/>
        <v/>
      </c>
      <c r="S135" s="305">
        <f>H135</f>
        <v>0</v>
      </c>
      <c r="T135" s="150"/>
      <c r="U135" s="216">
        <f ca="1">IF(L135="l","",IF(D135+F135&gt;0,SUM(Z135:AA135),-1))</f>
        <v>-1</v>
      </c>
      <c r="V135" s="395"/>
      <c r="W135" s="107"/>
      <c r="Z135" s="114">
        <f>IF(D135&gt;0,0,TRUNC(F135*T135+Y135*X135))</f>
        <v>0</v>
      </c>
      <c r="AA135" t="b">
        <f>IF($D135=1,SUM(Z$13:Z133)-SUM(AA$13:AA133),IF($D135=2,$AA$6,IF($D135=3,TRUNC($AA$6,-3))))</f>
        <v>0</v>
      </c>
      <c r="AB135">
        <f ca="1">IF(OR(AC$8=0,L134="l",D135&gt;0,U135=-1),0,IF(L134="b",-U135,TRUNC(F134*T135)))</f>
        <v>0</v>
      </c>
      <c r="AC135" t="b">
        <f>IF($D135=1,SUM(AB$13:AB133)-SUM(AC$13:AC133),IF($D135=2,$AA$5,IF($D135=3,TRUNC($AA$5,-3))))</f>
        <v>0</v>
      </c>
    </row>
    <row r="136" spans="3:29" ht="15" customHeight="1" x14ac:dyDescent="0.15">
      <c r="C136" s="182"/>
      <c r="D136" s="210"/>
      <c r="E136" s="184"/>
      <c r="F136" s="227"/>
      <c r="G136" s="297" t="str">
        <f ca="1">IF(OR(AC$8=0,L136="b"),"",IF(L136="l",0,"("&amp;FIXED(-F136,K137,0)&amp;M136))</f>
        <v/>
      </c>
      <c r="H136" s="183"/>
      <c r="I136" s="185"/>
      <c r="L136" t="str">
        <f t="shared" ca="1" si="15"/>
        <v>b</v>
      </c>
      <c r="M136" t="str">
        <f>")"&amp;REPT(" ",2-K137)&amp;IF(K137=0," ","")</f>
        <v xml:space="preserve">)   </v>
      </c>
      <c r="O136" s="194"/>
      <c r="P136" s="207">
        <f>D136</f>
        <v>0</v>
      </c>
      <c r="Q136" s="207">
        <f t="shared" si="16"/>
        <v>0</v>
      </c>
      <c r="R136" s="300" t="str">
        <f t="shared" ca="1" si="17"/>
        <v/>
      </c>
      <c r="S136" s="304"/>
      <c r="T136" s="149"/>
      <c r="U136" s="206">
        <f ca="1">IF(OR(AC$8=0,SUM(Z137:AC137)=0),1,IF(L136="l","",SUM(AB137:AC137)))</f>
        <v>1</v>
      </c>
      <c r="V136" s="394"/>
      <c r="W136" s="50"/>
      <c r="Z136"/>
    </row>
    <row r="137" spans="3:29" ht="15" customHeight="1" x14ac:dyDescent="0.15">
      <c r="C137" s="186"/>
      <c r="D137" s="205"/>
      <c r="E137" s="188"/>
      <c r="F137" s="226"/>
      <c r="G137" s="296" t="str">
        <f ca="1">IF(L137="b","",IF(L137="l",0,FIXED(F137,K137,0)&amp;M137))</f>
        <v/>
      </c>
      <c r="H137" s="187"/>
      <c r="I137" s="189"/>
      <c r="K137" s="215"/>
      <c r="L137" t="str">
        <f t="shared" ca="1" si="15"/>
        <v>b</v>
      </c>
      <c r="M137" t="str">
        <f>REPT(" ",3-K137)&amp;IF(K137=0," ","")</f>
        <v xml:space="preserve">    </v>
      </c>
      <c r="O137" s="194"/>
      <c r="P137" s="208">
        <f>IF(ISNUMBER(D137),LOOKUP(D137,$AB$5:$AC$7),D137)</f>
        <v>0</v>
      </c>
      <c r="Q137" s="208">
        <f t="shared" si="16"/>
        <v>0</v>
      </c>
      <c r="R137" s="301" t="str">
        <f t="shared" ca="1" si="17"/>
        <v/>
      </c>
      <c r="S137" s="305">
        <f>H137</f>
        <v>0</v>
      </c>
      <c r="T137" s="150"/>
      <c r="U137" s="216">
        <f ca="1">IF(L137="l","",IF(D137+F137&gt;0,SUM(Z137:AA137),-1))</f>
        <v>-1</v>
      </c>
      <c r="V137" s="395"/>
      <c r="W137" s="107"/>
      <c r="Z137" s="114">
        <f>IF(D137&gt;0,0,TRUNC(F137*T137+Y137*X137))</f>
        <v>0</v>
      </c>
      <c r="AA137" t="b">
        <f>IF($D137=1,SUM(Z$13:Z135)-SUM(AA$13:AA135),IF($D137=2,$AA$6,IF($D137=3,TRUNC($AA$6,-3))))</f>
        <v>0</v>
      </c>
      <c r="AB137">
        <f ca="1">IF(OR(AC$8=0,L136="l",D137&gt;0,U137=-1),0,IF(L136="b",-U137,TRUNC(F136*T137)))</f>
        <v>0</v>
      </c>
      <c r="AC137" t="b">
        <f>IF($D137=1,SUM(AB$13:AB135)-SUM(AC$13:AC135),IF($D137=2,$AA$5,IF($D137=3,TRUNC($AA$5,-3))))</f>
        <v>0</v>
      </c>
    </row>
    <row r="138" spans="3:29" ht="15" customHeight="1" x14ac:dyDescent="0.15">
      <c r="C138" s="182"/>
      <c r="D138" s="210"/>
      <c r="E138" s="184"/>
      <c r="F138" s="227"/>
      <c r="G138" s="297" t="str">
        <f ca="1">IF(OR(AC$8=0,L138="b"),"",IF(L138="l",0,"("&amp;FIXED(-F138,K139,0)&amp;M138))</f>
        <v/>
      </c>
      <c r="H138" s="183"/>
      <c r="I138" s="185"/>
      <c r="L138" t="str">
        <f t="shared" ca="1" si="15"/>
        <v>b</v>
      </c>
      <c r="M138" t="str">
        <f>")"&amp;REPT(" ",2-K139)&amp;IF(K139=0," ","")</f>
        <v xml:space="preserve">)   </v>
      </c>
      <c r="O138" s="182"/>
      <c r="P138" s="207">
        <f>D138</f>
        <v>0</v>
      </c>
      <c r="Q138" s="207">
        <f t="shared" si="16"/>
        <v>0</v>
      </c>
      <c r="R138" s="300" t="str">
        <f t="shared" ca="1" si="17"/>
        <v/>
      </c>
      <c r="S138" s="304"/>
      <c r="T138" s="149"/>
      <c r="U138" s="206">
        <f ca="1">IF(OR(AC$8=0,SUM(Z139:AC139)=0),1,IF(L138="l","",SUM(AB139:AC139)))</f>
        <v>1</v>
      </c>
      <c r="V138" s="394"/>
      <c r="W138" s="50"/>
      <c r="Z138"/>
    </row>
    <row r="139" spans="3:29" ht="15" customHeight="1" x14ac:dyDescent="0.15">
      <c r="C139" s="186"/>
      <c r="D139" s="205"/>
      <c r="E139" s="188"/>
      <c r="F139" s="226"/>
      <c r="G139" s="296" t="str">
        <f ca="1">IF(L139="b","",IF(L139="l",0,FIXED(F139,K139,0)&amp;M139))</f>
        <v/>
      </c>
      <c r="H139" s="187"/>
      <c r="I139" s="189"/>
      <c r="K139" s="215"/>
      <c r="L139" t="str">
        <f t="shared" ca="1" si="15"/>
        <v>b</v>
      </c>
      <c r="M139" t="str">
        <f>REPT(" ",3-K139)&amp;IF(K139=0," ","")</f>
        <v xml:space="preserve">    </v>
      </c>
      <c r="O139" s="182"/>
      <c r="P139" s="208">
        <f>IF(ISNUMBER(D139),LOOKUP(D139,$AB$5:$AC$7),D139)</f>
        <v>0</v>
      </c>
      <c r="Q139" s="208">
        <f t="shared" si="16"/>
        <v>0</v>
      </c>
      <c r="R139" s="301" t="str">
        <f t="shared" ca="1" si="17"/>
        <v/>
      </c>
      <c r="S139" s="305">
        <f>H139</f>
        <v>0</v>
      </c>
      <c r="T139" s="150"/>
      <c r="U139" s="216">
        <f ca="1">IF(L139="l","",IF(D139+F139&gt;0,SUM(Z139:AA139),-1))</f>
        <v>-1</v>
      </c>
      <c r="V139" s="395"/>
      <c r="W139" s="107"/>
      <c r="Z139" s="114">
        <f>IF(D139&gt;0,0,TRUNC(F139*T139+Y139*X139))</f>
        <v>0</v>
      </c>
      <c r="AA139" t="b">
        <f>IF($D139=1,SUM(Z$13:Z137)-SUM(AA$13:AA137),IF($D139=2,$AA$6,IF($D139=3,TRUNC($AA$6,-3))))</f>
        <v>0</v>
      </c>
      <c r="AB139">
        <f ca="1">IF(OR(AC$8=0,L138="l",D139&gt;0,U139=-1),0,IF(L138="b",-U139,TRUNC(F138*T139)))</f>
        <v>0</v>
      </c>
      <c r="AC139" t="b">
        <f>IF($D139=1,SUM(AB$13:AB137)-SUM(AC$13:AC137),IF($D139=2,$AA$5,IF($D139=3,TRUNC($AA$5,-3))))</f>
        <v>0</v>
      </c>
    </row>
    <row r="140" spans="3:29" ht="15" customHeight="1" x14ac:dyDescent="0.15">
      <c r="C140" s="182"/>
      <c r="D140" s="210"/>
      <c r="E140" s="184"/>
      <c r="F140" s="227"/>
      <c r="G140" s="297" t="str">
        <f ca="1">IF(OR(AC$8=0,L140="b"),"",IF(L140="l",0,"("&amp;FIXED(-F140,K141,0)&amp;M140))</f>
        <v/>
      </c>
      <c r="H140" s="183"/>
      <c r="I140" s="185"/>
      <c r="L140" t="str">
        <f t="shared" ca="1" si="15"/>
        <v>b</v>
      </c>
      <c r="M140" t="str">
        <f>")"&amp;REPT(" ",2-K141)&amp;IF(K141=0," ","")</f>
        <v xml:space="preserve">)   </v>
      </c>
      <c r="O140" s="182"/>
      <c r="P140" s="207">
        <f>D140</f>
        <v>0</v>
      </c>
      <c r="Q140" s="207">
        <f t="shared" si="16"/>
        <v>0</v>
      </c>
      <c r="R140" s="300" t="str">
        <f t="shared" ca="1" si="17"/>
        <v/>
      </c>
      <c r="S140" s="304"/>
      <c r="T140" s="149"/>
      <c r="U140" s="206">
        <f ca="1">IF(OR(AC$8=0,SUM(Z141:AC141)=0),1,IF(L140="l","",SUM(AB141:AC141)))</f>
        <v>1</v>
      </c>
      <c r="V140" s="394"/>
      <c r="W140" s="50"/>
      <c r="Z140"/>
    </row>
    <row r="141" spans="3:29" ht="15" customHeight="1" x14ac:dyDescent="0.15">
      <c r="C141" s="186"/>
      <c r="D141" s="205"/>
      <c r="E141" s="188"/>
      <c r="F141" s="226"/>
      <c r="G141" s="296" t="str">
        <f ca="1">IF(L141="b","",IF(L141="l",0,FIXED(F141,K141,0)&amp;M141))</f>
        <v/>
      </c>
      <c r="H141" s="187"/>
      <c r="I141" s="189"/>
      <c r="K141" s="215"/>
      <c r="L141" t="str">
        <f t="shared" ca="1" si="15"/>
        <v>b</v>
      </c>
      <c r="M141" t="str">
        <f>REPT(" ",3-K141)&amp;IF(K141=0," ","")</f>
        <v xml:space="preserve">    </v>
      </c>
      <c r="O141" s="182"/>
      <c r="P141" s="208">
        <f>IF(ISNUMBER(D141),LOOKUP(D141,$AB$5:$AC$7),D141)</f>
        <v>0</v>
      </c>
      <c r="Q141" s="208">
        <f t="shared" si="16"/>
        <v>0</v>
      </c>
      <c r="R141" s="301" t="str">
        <f t="shared" ca="1" si="17"/>
        <v/>
      </c>
      <c r="S141" s="305">
        <f>H141</f>
        <v>0</v>
      </c>
      <c r="T141" s="150"/>
      <c r="U141" s="216">
        <f ca="1">IF(L141="l","",IF(D141+F141&gt;0,SUM(Z141:AA141),-1))</f>
        <v>-1</v>
      </c>
      <c r="V141" s="395"/>
      <c r="W141" s="107"/>
      <c r="Z141" s="114">
        <f>IF(D141&gt;0,0,TRUNC(F141*T141+Y141*X141))</f>
        <v>0</v>
      </c>
      <c r="AA141" t="b">
        <f>IF($D141=1,SUM(Z$13:Z139)-SUM(AA$13:AA139),IF($D141=2,$AA$6,IF($D141=3,TRUNC($AA$6,-3))))</f>
        <v>0</v>
      </c>
      <c r="AB141">
        <f ca="1">IF(OR(AC$8=0,L140="l",D141&gt;0,U141=-1),0,IF(L140="b",-U141,TRUNC(F140*T141)))</f>
        <v>0</v>
      </c>
      <c r="AC141" t="b">
        <f>IF($D141=1,SUM(AB$13:AB139)-SUM(AC$13:AC139),IF($D141=2,$AA$5,IF($D141=3,TRUNC($AA$5,-3))))</f>
        <v>0</v>
      </c>
    </row>
    <row r="142" spans="3:29" ht="15" customHeight="1" x14ac:dyDescent="0.15">
      <c r="C142" s="182"/>
      <c r="D142" s="210"/>
      <c r="E142" s="184"/>
      <c r="F142" s="227"/>
      <c r="G142" s="297" t="str">
        <f ca="1">IF(OR(AC$8=0,L142="b"),"",IF(L142="l",0,"("&amp;FIXED(-F142,K143,0)&amp;M142))</f>
        <v/>
      </c>
      <c r="H142" s="183"/>
      <c r="I142" s="185"/>
      <c r="L142" t="str">
        <f ca="1">CELL("type",F142)</f>
        <v>b</v>
      </c>
      <c r="M142" t="str">
        <f>")"&amp;REPT(" ",2-K143)&amp;IF(K143=0," ","")</f>
        <v xml:space="preserve">)   </v>
      </c>
      <c r="O142" s="182"/>
      <c r="P142" s="207">
        <f>D142</f>
        <v>0</v>
      </c>
      <c r="Q142" s="207">
        <f t="shared" si="16"/>
        <v>0</v>
      </c>
      <c r="R142" s="300" t="str">
        <f ca="1">G142</f>
        <v/>
      </c>
      <c r="S142" s="304"/>
      <c r="T142" s="149"/>
      <c r="U142" s="206">
        <f ca="1">IF(OR(AC$8=0,SUM(Z143:AC143)=0),1,IF(L142="l","",SUM(AB143:AC143)))</f>
        <v>1</v>
      </c>
      <c r="V142" s="394"/>
      <c r="W142" s="50"/>
      <c r="Z142"/>
    </row>
    <row r="143" spans="3:29" ht="15" customHeight="1" thickBot="1" x14ac:dyDescent="0.2">
      <c r="C143" s="190"/>
      <c r="D143" s="211"/>
      <c r="E143" s="192"/>
      <c r="F143" s="228"/>
      <c r="G143" s="299" t="str">
        <f ca="1">IF(L143="b","",IF(L143="l",0,FIXED(F143,K143,0)&amp;M143))</f>
        <v/>
      </c>
      <c r="H143" s="191"/>
      <c r="I143" s="193"/>
      <c r="K143" s="215"/>
      <c r="L143" t="str">
        <f ca="1">CELL("type",F143)</f>
        <v>b</v>
      </c>
      <c r="M143" t="str">
        <f>REPT(" ",3-K143)&amp;IF(K143=0," ","")</f>
        <v xml:space="preserve">    </v>
      </c>
      <c r="O143" s="190"/>
      <c r="P143" s="209">
        <f>IF(ISNUMBER(D143),LOOKUP(D143,$AB$5:$AC$7),D143)</f>
        <v>0</v>
      </c>
      <c r="Q143" s="209">
        <f>E143</f>
        <v>0</v>
      </c>
      <c r="R143" s="302" t="str">
        <f ca="1">G143</f>
        <v/>
      </c>
      <c r="S143" s="306">
        <f>H143</f>
        <v>0</v>
      </c>
      <c r="T143" s="151"/>
      <c r="U143" s="217">
        <f ca="1">IF(L143="l","",IF(D143+F143&gt;0,SUM(Z143:AA143),-1))</f>
        <v>-1</v>
      </c>
      <c r="V143" s="396"/>
      <c r="W143" s="55"/>
      <c r="Z143" s="114">
        <f>IF(D143&gt;0,0,TRUNC(F143*T143+Y143*X143))</f>
        <v>0</v>
      </c>
      <c r="AA143" t="b">
        <f>IF($D143=1,SUM(Z$13:Z141)-SUM(AA$13:AA141),IF($D143=2,$AA$6,IF($D143=3,TRUNC($AA$6,-3))))</f>
        <v>0</v>
      </c>
      <c r="AB143">
        <f ca="1">IF(OR(AC$8=0,L142="l",D143&gt;0,U143=-1),0,IF(L142="b",-U143,TRUNC(F142*T143)))</f>
        <v>0</v>
      </c>
      <c r="AC143" t="b">
        <f>IF($D143=1,SUM(AB$13:AB141)-SUM(AC$13:AC141),IF($D143=2,$AA$5,IF($D143=3,TRUNC($AA$5,-3))))</f>
        <v>0</v>
      </c>
    </row>
  </sheetData>
  <mergeCells count="4">
    <mergeCell ref="V9:V11"/>
    <mergeCell ref="O9:O11"/>
    <mergeCell ref="O75:O77"/>
    <mergeCell ref="V75:V77"/>
  </mergeCells>
  <phoneticPr fontId="8"/>
  <conditionalFormatting sqref="O117 O115 O119 O121 O123 O125 O49:O53 O67:O72 O127 O129 O131 O133 O135 O137 O99 O101 O103 O105 O107 O109 O111 O113 O97 O93 O95 O79 O45 O47 O55 O57 O59 O61 O63 O65 O81:O91 O14:O43">
    <cfRule type="expression" dxfId="21" priority="1" stopIfTrue="1">
      <formula>D14=1</formula>
    </cfRule>
  </conditionalFormatting>
  <dataValidations count="1">
    <dataValidation imeMode="off" showInputMessage="1" showErrorMessage="1" promptTitle="警告" prompt="計算式が設定されています_x000a_入力を続けますか?" sqref="G78:G143 G12:G73" xr:uid="{00000000-0002-0000-1000-000000000000}"/>
  </dataValidations>
  <pageMargins left="0.70866141732283472" right="0.19685039370078741" top="0.59055118110236227" bottom="0.59055118110236227" header="0" footer="0"/>
  <pageSetup paperSize="9" scale="80" orientation="portrait" blackAndWhite="1"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ransitionEvaluation="1">
    <tabColor indexed="39"/>
  </sheetPr>
  <dimension ref="A1:AD244"/>
  <sheetViews>
    <sheetView view="pageBreakPreview" topLeftCell="J1" zoomScaleNormal="90" zoomScaleSheetLayoutView="100" workbookViewId="0">
      <selection activeCell="B1" sqref="B1"/>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5.625" customWidth="1"/>
    <col min="18" max="18" width="12.125" customWidth="1"/>
    <col min="19" max="19" width="4.625" customWidth="1"/>
    <col min="20" max="20" width="10.625" customWidth="1"/>
    <col min="21" max="21" width="15.625" customWidth="1"/>
    <col min="22" max="22" width="8.625" customWidth="1"/>
    <col min="23" max="23" width="16.625" customWidth="1"/>
    <col min="26" max="26" width="9.625" style="114" customWidth="1"/>
    <col min="27" max="29" width="9.625" customWidth="1"/>
  </cols>
  <sheetData>
    <row r="1" spans="1:30" x14ac:dyDescent="0.15">
      <c r="D1" t="s">
        <v>307</v>
      </c>
      <c r="F1" t="s">
        <v>308</v>
      </c>
    </row>
    <row r="2" spans="1:30" x14ac:dyDescent="0.15">
      <c r="D2" t="s">
        <v>272</v>
      </c>
      <c r="F2" s="224" t="s">
        <v>267</v>
      </c>
    </row>
    <row r="3" spans="1:30" x14ac:dyDescent="0.15">
      <c r="D3" t="s">
        <v>274</v>
      </c>
      <c r="F3" s="224" t="s">
        <v>271</v>
      </c>
    </row>
    <row r="4" spans="1:30" ht="14.25" thickBot="1" x14ac:dyDescent="0.2">
      <c r="C4" t="s">
        <v>214</v>
      </c>
      <c r="D4" t="s">
        <v>273</v>
      </c>
      <c r="F4" s="224" t="s">
        <v>268</v>
      </c>
      <c r="O4" t="s">
        <v>214</v>
      </c>
      <c r="AC4" t="s">
        <v>89</v>
      </c>
    </row>
    <row r="5" spans="1:30" x14ac:dyDescent="0.15">
      <c r="B5" s="100" t="s">
        <v>83</v>
      </c>
      <c r="N5" t="s">
        <v>215</v>
      </c>
      <c r="O5" s="16"/>
      <c r="P5" s="17"/>
      <c r="Q5" s="17"/>
      <c r="R5" s="18"/>
      <c r="S5" s="17"/>
      <c r="T5" s="18"/>
      <c r="U5" s="18"/>
      <c r="V5" s="18"/>
      <c r="W5" s="19"/>
      <c r="Z5" s="100" t="s">
        <v>216</v>
      </c>
      <c r="AA5">
        <f ca="1">SUM(INDIRECT(AD$6))</f>
        <v>0</v>
      </c>
      <c r="AB5">
        <v>1</v>
      </c>
      <c r="AC5" t="s">
        <v>219</v>
      </c>
      <c r="AD5" t="s">
        <v>217</v>
      </c>
    </row>
    <row r="6" spans="1:30" ht="21" customHeight="1" x14ac:dyDescent="0.2">
      <c r="N6" s="284"/>
      <c r="O6" s="486" t="s">
        <v>586</v>
      </c>
      <c r="P6" s="25"/>
      <c r="Q6" s="25"/>
      <c r="R6" s="25"/>
      <c r="S6" s="25"/>
      <c r="T6" s="25"/>
      <c r="U6" s="25"/>
      <c r="V6" s="25"/>
      <c r="W6" s="26"/>
      <c r="Z6" s="100" t="s">
        <v>218</v>
      </c>
      <c r="AA6">
        <f ca="1">SUM(INDIRECT(AD$7))</f>
        <v>577922</v>
      </c>
      <c r="AB6">
        <v>2</v>
      </c>
      <c r="AC6" t="s">
        <v>104</v>
      </c>
      <c r="AD6" t="str">
        <f>"AB10..AB"&amp;FIXED(AA7,0,TRUE)</f>
        <v>AB10..AB143</v>
      </c>
    </row>
    <row r="7" spans="1:30" ht="18.75" x14ac:dyDescent="0.2">
      <c r="C7" s="485" t="s">
        <v>585</v>
      </c>
      <c r="D7" s="101"/>
      <c r="E7" s="101"/>
      <c r="F7" s="101"/>
      <c r="G7" s="101"/>
      <c r="H7" s="101"/>
      <c r="I7" s="101"/>
      <c r="N7" s="285"/>
      <c r="O7" s="283"/>
      <c r="P7" s="20"/>
      <c r="Q7" s="458" t="str">
        <f ca="1">IF(OR(AC8=0,TRUNC(AA5,-3)+TRUNC(AA6,-3)=0),"",TRUNC(AA5,-3))</f>
        <v/>
      </c>
      <c r="R7" s="21"/>
      <c r="S7" s="20"/>
      <c r="T7" s="21"/>
      <c r="U7" s="21"/>
      <c r="V7" s="21"/>
      <c r="W7" s="104"/>
      <c r="Z7" s="100" t="s">
        <v>221</v>
      </c>
      <c r="AA7" s="116">
        <v>143</v>
      </c>
      <c r="AB7">
        <v>3</v>
      </c>
      <c r="AC7" t="s">
        <v>230</v>
      </c>
      <c r="AD7" t="str">
        <f>"Z10..Z"&amp;FIXED(AA7,0,TRUE)</f>
        <v>Z10..Z143</v>
      </c>
    </row>
    <row r="8" spans="1:30" ht="18.75" customHeight="1" thickBot="1" x14ac:dyDescent="0.25">
      <c r="A8" t="b">
        <f>SUM(F13:F73)&gt;0</f>
        <v>1</v>
      </c>
      <c r="B8">
        <f>SUM(A8:A213)</f>
        <v>2</v>
      </c>
      <c r="I8" s="111" t="str">
        <f>"( "&amp;FIXED($A8,0)&amp;" ／ "&amp;FIXED($B$8,0)&amp;" )"</f>
        <v>( 1 ／ 2 )</v>
      </c>
      <c r="N8" s="285"/>
      <c r="O8" s="283"/>
      <c r="P8" s="20"/>
      <c r="Q8" s="459">
        <f ca="1">TRUNC(AA6,-3)</f>
        <v>577000</v>
      </c>
      <c r="R8" s="21"/>
      <c r="S8" s="20"/>
      <c r="T8" s="21"/>
      <c r="U8" s="21"/>
      <c r="V8" s="21"/>
      <c r="W8" s="112" t="str">
        <f>"( "&amp;FIXED($A8,0)&amp;" ／ "&amp;FIXED($B$8,0)&amp;" )"</f>
        <v>( 1 ／ 2 )</v>
      </c>
      <c r="AC8">
        <f>鏡!H2-1</f>
        <v>0</v>
      </c>
      <c r="AD8" t="str">
        <f>"A5..A"&amp;FIXED(AA7,0,TRUE)</f>
        <v>A5..A143</v>
      </c>
    </row>
    <row r="9" spans="1:30" x14ac:dyDescent="0.15">
      <c r="C9" s="16"/>
      <c r="D9" s="102"/>
      <c r="E9" s="102"/>
      <c r="F9" s="18"/>
      <c r="G9" s="102"/>
      <c r="H9" s="102"/>
      <c r="I9" s="48"/>
      <c r="O9" s="756" t="s">
        <v>258</v>
      </c>
      <c r="P9" s="4"/>
      <c r="Q9" s="4"/>
      <c r="R9" s="5"/>
      <c r="S9" s="4"/>
      <c r="T9" s="14" t="s">
        <v>88</v>
      </c>
      <c r="U9" s="15"/>
      <c r="V9" s="755" t="s">
        <v>257</v>
      </c>
      <c r="W9" s="105"/>
    </row>
    <row r="10" spans="1:30"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Z10" t="str">
        <f>IF(AC8=0,"当初","出来高")</f>
        <v>当初</v>
      </c>
      <c r="AB10" t="s">
        <v>216</v>
      </c>
    </row>
    <row r="11" spans="1:30" ht="14.25" thickBot="1" x14ac:dyDescent="0.2">
      <c r="C11" s="71"/>
      <c r="D11" s="40"/>
      <c r="E11" s="40"/>
      <c r="F11" s="36"/>
      <c r="G11" s="40"/>
      <c r="H11" s="40"/>
      <c r="I11" s="52"/>
      <c r="K11" s="1" t="s">
        <v>259</v>
      </c>
      <c r="O11" s="758"/>
      <c r="P11" s="39"/>
      <c r="Q11" s="39"/>
      <c r="R11" s="40"/>
      <c r="S11" s="39"/>
      <c r="T11" s="56" t="s">
        <v>96</v>
      </c>
      <c r="U11" s="56" t="s">
        <v>96</v>
      </c>
      <c r="V11" s="750"/>
      <c r="W11" s="52"/>
      <c r="Z11"/>
    </row>
    <row r="12" spans="1:30" ht="15" customHeight="1" thickTop="1" x14ac:dyDescent="0.15">
      <c r="C12" s="182"/>
      <c r="D12" s="210"/>
      <c r="E12" s="184"/>
      <c r="F12" s="225"/>
      <c r="G12" s="297" t="str">
        <f ca="1">IF(OR(AC$8=0,L12="b"),"",IF(L12="l",0,"("&amp;FIXED(-F12,K13,0)&amp;M12))</f>
        <v/>
      </c>
      <c r="H12" s="183"/>
      <c r="I12" s="185"/>
      <c r="L12" t="str">
        <f ca="1">CELL("type",F12)</f>
        <v>b</v>
      </c>
      <c r="M12" t="str">
        <f>")"&amp;REPT(" ",2-K13)&amp;IF(K13=0," ","")</f>
        <v xml:space="preserve">) </v>
      </c>
      <c r="O12" s="253"/>
      <c r="P12" s="207">
        <f>D12</f>
        <v>0</v>
      </c>
      <c r="Q12" s="207">
        <f>E12</f>
        <v>0</v>
      </c>
      <c r="R12" s="300" t="str">
        <f ca="1">G12</f>
        <v/>
      </c>
      <c r="S12" s="304"/>
      <c r="T12" s="144"/>
      <c r="U12" s="206">
        <f ca="1">IF(OR(AC$8=0,SUM(Z13:AC13)=0),1,IF(L12="l","",SUM(AB13:AC13)))</f>
        <v>1</v>
      </c>
      <c r="V12" s="385"/>
      <c r="W12" s="50"/>
      <c r="Z12"/>
    </row>
    <row r="13" spans="1:30" ht="15" customHeight="1" x14ac:dyDescent="0.15">
      <c r="C13" s="186" t="s">
        <v>589</v>
      </c>
      <c r="D13" s="205" t="s">
        <v>341</v>
      </c>
      <c r="E13" s="188" t="s">
        <v>588</v>
      </c>
      <c r="F13" s="226">
        <v>585.4</v>
      </c>
      <c r="G13" s="296" t="str">
        <f ca="1">IF(L13="b","",IF(L13="l",0,FIXED(F13,K13,0)&amp;M13))</f>
        <v xml:space="preserve">585.4  </v>
      </c>
      <c r="H13" s="187" t="s">
        <v>229</v>
      </c>
      <c r="I13" s="189"/>
      <c r="K13" s="215">
        <v>1</v>
      </c>
      <c r="L13" t="str">
        <f ca="1">CELL("type",F13)</f>
        <v>v</v>
      </c>
      <c r="M13" t="str">
        <f>REPT(" ",3-K13)&amp;IF(K13=0," ","")</f>
        <v xml:space="preserve">  </v>
      </c>
      <c r="O13" s="194"/>
      <c r="P13" s="208" t="str">
        <f>IF(ISNUMBER(D13),LOOKUP(D13,$AB$5:$AC$7),D13)</f>
        <v>電　　　　　線</v>
      </c>
      <c r="Q13" s="208" t="str">
        <f>E13</f>
        <v xml:space="preserve">600V  EM-IE    1.6㎜    </v>
      </c>
      <c r="R13" s="301" t="str">
        <f ca="1">G13</f>
        <v xml:space="preserve">585.4  </v>
      </c>
      <c r="S13" s="305" t="str">
        <f>H13</f>
        <v>ｍ</v>
      </c>
      <c r="T13" s="145">
        <v>31</v>
      </c>
      <c r="U13" s="216">
        <f ca="1">IF(L13="l","",IF(D13+F13&gt;0,SUM(Z13:AA13),-1))</f>
        <v>18147</v>
      </c>
      <c r="V13" s="386">
        <v>61</v>
      </c>
      <c r="W13" s="107"/>
      <c r="Z13" s="114">
        <f>IF(D13&gt;0,0,TRUNC(F13*T13+Y13*X13))</f>
        <v>18147</v>
      </c>
      <c r="AA13" t="b">
        <f>IF($D13=1,SUM(Z11:Z$13)-SUM(AA11:AA$13),IF($D13=2,$AA$6,IF($D13=3,TRUNC($AA$6,-3))))</f>
        <v>0</v>
      </c>
      <c r="AB13">
        <f ca="1">IF(OR(AC$8=0,L12="l",D13&gt;0,U13=-1),0,IF(L12="b",-U13,TRUNC(F12*T13)))</f>
        <v>0</v>
      </c>
      <c r="AC13" t="b">
        <f>IF($D13=1,SUM(AB11:AB$13)-SUM(AC11:AC$13),IF($D13=2,$AA$5,IF($D13=3,TRUNC($AA$5,-3))))</f>
        <v>0</v>
      </c>
    </row>
    <row r="14" spans="1:30" ht="15" customHeight="1" x14ac:dyDescent="0.15">
      <c r="C14" s="182"/>
      <c r="D14" s="210"/>
      <c r="E14" s="184"/>
      <c r="F14" s="225"/>
      <c r="G14" s="297" t="str">
        <f ca="1">IF(OR(AC$8=0,L14="b"),"",IF(L14="l",0,"("&amp;FIXED(-F14,K15,0)&amp;M14))</f>
        <v/>
      </c>
      <c r="H14" s="183"/>
      <c r="I14" s="185"/>
      <c r="L14" t="str">
        <f ca="1">CELL("type",F14)</f>
        <v>b</v>
      </c>
      <c r="M14" t="str">
        <f>")"&amp;REPT(" ",2-K15)&amp;IF(K15=0," ","")</f>
        <v xml:space="preserve">) </v>
      </c>
      <c r="O14" s="194" t="s">
        <v>85</v>
      </c>
      <c r="P14" s="207">
        <f>D14</f>
        <v>0</v>
      </c>
      <c r="Q14" s="207">
        <f>E14</f>
        <v>0</v>
      </c>
      <c r="R14" s="300" t="str">
        <f ca="1">G14</f>
        <v/>
      </c>
      <c r="S14" s="304"/>
      <c r="T14" s="144"/>
      <c r="U14" s="206">
        <f ca="1">IF(OR(AC$8=0,SUM(Z15:AC15)=0),1,IF(L14="l","",SUM(AB15:AC15)))</f>
        <v>1</v>
      </c>
      <c r="V14" s="385"/>
      <c r="W14" s="50"/>
      <c r="Z14"/>
    </row>
    <row r="15" spans="1:30" ht="15" customHeight="1" x14ac:dyDescent="0.15">
      <c r="C15" s="186"/>
      <c r="D15" s="205" t="s">
        <v>242</v>
      </c>
      <c r="E15" s="188" t="s">
        <v>587</v>
      </c>
      <c r="F15" s="226">
        <v>317</v>
      </c>
      <c r="G15" s="296" t="str">
        <f ca="1">IF(L15="b","",IF(L15="l",0,FIXED(F15,K15,0)&amp;M15))</f>
        <v xml:space="preserve">317.0  </v>
      </c>
      <c r="H15" s="187" t="s">
        <v>229</v>
      </c>
      <c r="I15" s="189"/>
      <c r="K15" s="215">
        <v>1</v>
      </c>
      <c r="L15" t="str">
        <f ca="1">CELL("type",F15)</f>
        <v>v</v>
      </c>
      <c r="M15" t="str">
        <f>REPT(" ",3-K15)&amp;IF(K15=0," ","")</f>
        <v xml:space="preserve">  </v>
      </c>
      <c r="O15" s="194"/>
      <c r="P15" s="208" t="str">
        <f>IF(ISNUMBER(D15),LOOKUP(D15,$AB$5:$AC$7),D15)</f>
        <v>〃</v>
      </c>
      <c r="Q15" s="208" t="str">
        <f>E15</f>
        <v xml:space="preserve">600V  EM-IE    2.0㎜    </v>
      </c>
      <c r="R15" s="301" t="str">
        <f ca="1">G15</f>
        <v xml:space="preserve">317.0  </v>
      </c>
      <c r="S15" s="305" t="str">
        <f>H15</f>
        <v>ｍ</v>
      </c>
      <c r="T15" s="145">
        <v>46</v>
      </c>
      <c r="U15" s="216">
        <f ca="1">IF(L15="l","",IF(D15+F15&gt;0,SUM(Z15:AA15),-1))</f>
        <v>14582</v>
      </c>
      <c r="V15" s="386">
        <v>62</v>
      </c>
      <c r="W15" s="107"/>
      <c r="Z15" s="114">
        <f>IF(D15&gt;0,0,TRUNC(F15*T15+Y15*X15))</f>
        <v>14582</v>
      </c>
      <c r="AA15" t="b">
        <f>IF($D15=1,SUM(Z$13:Z13)-SUM(AA$13:AA13),IF($D15=2,$AA$6,IF($D15=3,TRUNC($AA$6,-3))))</f>
        <v>0</v>
      </c>
      <c r="AB15">
        <f ca="1">IF(OR(AC$8=0,L14="l",D15&gt;0,U15=-1),0,IF(L14="b",-U15,TRUNC(F14*T15)))</f>
        <v>0</v>
      </c>
      <c r="AC15" t="b">
        <f>IF($D15=1,SUM(AB$13:AB13)-SUM(AC$13:AC13),IF($D15=2,$AA$5,IF($D15=3,TRUNC($AA$5,-3))))</f>
        <v>0</v>
      </c>
    </row>
    <row r="16" spans="1:30" ht="15" customHeight="1" x14ac:dyDescent="0.15">
      <c r="C16" s="182"/>
      <c r="D16" s="210"/>
      <c r="E16" s="184"/>
      <c r="F16" s="225"/>
      <c r="G16" s="297" t="str">
        <f ca="1">IF(OR(AC$8=0,L16="b"),"",IF(L16="l",0,"("&amp;FIXED(-F16,K17,0)&amp;M16))</f>
        <v/>
      </c>
      <c r="H16" s="183"/>
      <c r="I16" s="185"/>
      <c r="L16" t="str">
        <f t="shared" ref="L16:L25" ca="1" si="0">CELL("type",F16)</f>
        <v>b</v>
      </c>
      <c r="M16" t="str">
        <f>")"&amp;REPT(" ",2-K17)&amp;IF(K17=0," ","")</f>
        <v xml:space="preserve">)   </v>
      </c>
      <c r="O16" s="194"/>
      <c r="P16" s="207">
        <f>D16</f>
        <v>0</v>
      </c>
      <c r="Q16" s="207">
        <f t="shared" ref="Q16:Q25" si="1">E16</f>
        <v>0</v>
      </c>
      <c r="R16" s="300" t="str">
        <f t="shared" ref="R16:R25" ca="1" si="2">G16</f>
        <v/>
      </c>
      <c r="S16" s="304"/>
      <c r="T16" s="144"/>
      <c r="U16" s="206">
        <f ca="1">IF(OR(AC$8=0,SUM(Z17:AC17)=0),1,IF(L16="l","",SUM(AB17:AC17)))</f>
        <v>1</v>
      </c>
      <c r="V16" s="385"/>
      <c r="W16" s="197" t="str">
        <f ca="1">IF(OR(AC$8=0,Y16+Y17=0),"",TEXT(-Y16,"(#,0)"))</f>
        <v/>
      </c>
      <c r="Y16">
        <f ca="1">SUM(AB$13:AB15)</f>
        <v>0</v>
      </c>
      <c r="Z16"/>
    </row>
    <row r="17" spans="3:29" ht="15" customHeight="1" x14ac:dyDescent="0.15">
      <c r="C17" s="186"/>
      <c r="D17" s="205" t="s">
        <v>233</v>
      </c>
      <c r="E17" s="188" t="s">
        <v>57</v>
      </c>
      <c r="F17" s="226">
        <v>1</v>
      </c>
      <c r="G17" s="296" t="str">
        <f ca="1">IF(L17="b","",IF(L17="l",0,FIXED(F17,K17,0)&amp;M17))</f>
        <v xml:space="preserve">1    </v>
      </c>
      <c r="H17" s="187" t="s">
        <v>99</v>
      </c>
      <c r="I17" s="189"/>
      <c r="K17" s="215"/>
      <c r="L17" t="str">
        <f t="shared" ca="1" si="0"/>
        <v>v</v>
      </c>
      <c r="M17" t="str">
        <f>REPT(" ",3-K17)&amp;IF(K17=0," ","")</f>
        <v xml:space="preserve">    </v>
      </c>
      <c r="O17" s="194" t="s">
        <v>86</v>
      </c>
      <c r="P17" s="208" t="str">
        <f>IF(ISNUMBER(D17),LOOKUP(D17,$AB$5:$AC$7),D17)</f>
        <v>付  属  材  料</v>
      </c>
      <c r="Q17" s="208" t="str">
        <f t="shared" si="1"/>
        <v>上記材料費の 1.5％</v>
      </c>
      <c r="R17" s="301" t="str">
        <f t="shared" ca="1" si="2"/>
        <v xml:space="preserve">1    </v>
      </c>
      <c r="S17" s="305" t="str">
        <f>H17</f>
        <v>式</v>
      </c>
      <c r="T17" s="145"/>
      <c r="U17" s="216">
        <f ca="1">IF(L17="l","",IF(D17+F17&gt;0,SUM(Z17:AA17),-1))</f>
        <v>490</v>
      </c>
      <c r="V17" s="386"/>
      <c r="W17" s="142" t="str">
        <f>TEXT(Y17," #,0×")&amp;TEXT(X17,"0.000＝")</f>
        <v xml:space="preserve"> 32,729×0.015＝</v>
      </c>
      <c r="X17">
        <f>VALUE(RIGHT(E17,4))</f>
        <v>1.4999999999999999E-2</v>
      </c>
      <c r="Y17" s="114">
        <f>SUM(Z$13:Z15)</f>
        <v>32729</v>
      </c>
      <c r="Z17" s="114">
        <f>IF(D17&gt;0,0,TRUNC(F17*T17+Y17*X17))</f>
        <v>490</v>
      </c>
      <c r="AA17" t="b">
        <f>IF($D17=1,SUM(Z$13:Z15)-SUM(AA$13:AA15),IF($D17=2,$AA$6,IF($D17=3,TRUNC($AA$6,-3))))</f>
        <v>0</v>
      </c>
      <c r="AB17">
        <f ca="1">IF(OR(AC$8=0,L16="l",D17&gt;0,U17=-1),0,IF(L16="b",-U17,TRUNC(F16*T17)))</f>
        <v>0</v>
      </c>
      <c r="AC17" t="b">
        <f>IF($D17=1,SUM(AB$13:AB15)-SUM(AC$13:AC15),IF($D17=2,$AA$5,IF($D17=3,TRUNC($AA$5,-3))))</f>
        <v>0</v>
      </c>
    </row>
    <row r="18" spans="3:29" ht="15" customHeight="1" x14ac:dyDescent="0.15">
      <c r="C18" s="182"/>
      <c r="D18" s="210"/>
      <c r="E18" s="184"/>
      <c r="F18" s="227"/>
      <c r="G18" s="297" t="str">
        <f ca="1">IF(OR(AC$8=0,L18="b"),"",IF(L18="l",0,"("&amp;FIXED(-F18,K19,0)&amp;M18))</f>
        <v/>
      </c>
      <c r="H18" s="183"/>
      <c r="I18" s="185"/>
      <c r="L18" t="str">
        <f t="shared" ca="1" si="0"/>
        <v>b</v>
      </c>
      <c r="M18" t="str">
        <f>")"&amp;REPT(" ",2-K19)&amp;IF(K19=0," ","")</f>
        <v xml:space="preserve">)   </v>
      </c>
      <c r="O18" s="194"/>
      <c r="P18" s="207">
        <f>D18</f>
        <v>0</v>
      </c>
      <c r="Q18" s="207">
        <f t="shared" si="1"/>
        <v>0</v>
      </c>
      <c r="R18" s="300" t="str">
        <f t="shared" ca="1" si="2"/>
        <v/>
      </c>
      <c r="S18" s="304"/>
      <c r="T18" s="144"/>
      <c r="U18" s="206">
        <f ca="1">IF(OR(AC$8=0,SUM(Z19:AC19)=0),1,IF(L18="l","",SUM(AB19:AC19)))</f>
        <v>1</v>
      </c>
      <c r="V18" s="385"/>
      <c r="W18" s="50"/>
      <c r="Z18"/>
    </row>
    <row r="19" spans="3:29" ht="15" customHeight="1" x14ac:dyDescent="0.15">
      <c r="C19" s="186"/>
      <c r="D19" s="205"/>
      <c r="E19" s="188"/>
      <c r="F19" s="226"/>
      <c r="G19" s="296" t="str">
        <f ca="1">IF(L19="b","",IF(L19="l",0,FIXED(F19,K19,0)&amp;M19))</f>
        <v/>
      </c>
      <c r="H19" s="187"/>
      <c r="I19" s="189"/>
      <c r="K19" s="215"/>
      <c r="L19" t="str">
        <f t="shared" ca="1" si="0"/>
        <v>b</v>
      </c>
      <c r="M19" t="str">
        <f>REPT(" ",3-K19)&amp;IF(K19=0," ","")</f>
        <v xml:space="preserve">    </v>
      </c>
      <c r="O19" s="194"/>
      <c r="P19" s="208">
        <f>IF(ISNUMBER(D19),LOOKUP(D19,$AB$5:$AC$7),D19)</f>
        <v>0</v>
      </c>
      <c r="Q19" s="208">
        <f t="shared" si="1"/>
        <v>0</v>
      </c>
      <c r="R19" s="301" t="str">
        <f t="shared" ca="1" si="2"/>
        <v/>
      </c>
      <c r="S19" s="305">
        <f>H19</f>
        <v>0</v>
      </c>
      <c r="T19" s="145"/>
      <c r="U19" s="216">
        <f ca="1">IF(L19="l","",IF(D19+F19&gt;0,SUM(Z19:AA19),-1))</f>
        <v>-1</v>
      </c>
      <c r="V19" s="386"/>
      <c r="W19" s="107"/>
      <c r="Z19" s="114">
        <f>IF(D19&gt;0,0,TRUNC(F19*T19+Y19*X19))</f>
        <v>0</v>
      </c>
      <c r="AA19" t="b">
        <f>IF($D19=1,SUM(Z$13:Z17)-SUM(AA$13:AA17),IF($D19=2,$AA$6,IF($D19=3,TRUNC($AA$6,-3))))</f>
        <v>0</v>
      </c>
      <c r="AB19">
        <f ca="1">IF(OR(AC$8=0,L18="l",D19&gt;0,U19=-1),0,IF(L18="b",-U19,TRUNC(F18*T19)))</f>
        <v>0</v>
      </c>
      <c r="AC19" t="b">
        <f>IF($D19=1,SUM(AB$13:AB17)-SUM(AC$13:AC17),IF($D19=2,$AA$5,IF($D19=3,TRUNC($AA$5,-3))))</f>
        <v>0</v>
      </c>
    </row>
    <row r="20" spans="3:29" ht="15" customHeight="1" x14ac:dyDescent="0.15">
      <c r="C20" s="182"/>
      <c r="D20" s="210"/>
      <c r="E20" s="184"/>
      <c r="F20" s="227"/>
      <c r="G20" s="297" t="str">
        <f ca="1">IF(OR(AC$8=0,L20="b"),"",IF(L20="l",0,"("&amp;FIXED(-F20,K21,0)&amp;M20))</f>
        <v/>
      </c>
      <c r="H20" s="183"/>
      <c r="I20" s="185"/>
      <c r="L20" t="str">
        <f t="shared" ca="1" si="0"/>
        <v>b</v>
      </c>
      <c r="M20" t="str">
        <f>")"&amp;REPT(" ",2-K21)&amp;IF(K21=0," ","")</f>
        <v xml:space="preserve">)   </v>
      </c>
      <c r="O20" s="194"/>
      <c r="P20" s="207">
        <f>D20</f>
        <v>0</v>
      </c>
      <c r="Q20" s="207">
        <f t="shared" si="1"/>
        <v>0</v>
      </c>
      <c r="R20" s="300" t="str">
        <f t="shared" ca="1" si="2"/>
        <v/>
      </c>
      <c r="S20" s="304"/>
      <c r="T20" s="144"/>
      <c r="U20" s="206">
        <f ca="1">IF(OR(AC$8=0,SUM(Z21:AC21)=0),1,IF(L20="l","",SUM(AB21:AC21)))</f>
        <v>1</v>
      </c>
      <c r="V20" s="385"/>
      <c r="W20" s="50"/>
      <c r="Z20"/>
    </row>
    <row r="21" spans="3:29" ht="15" customHeight="1" x14ac:dyDescent="0.15">
      <c r="C21" s="186"/>
      <c r="D21" s="205">
        <v>1</v>
      </c>
      <c r="E21" s="188"/>
      <c r="F21" s="226"/>
      <c r="G21" s="296" t="str">
        <f ca="1">IF(L21="b","",IF(L21="l",0,FIXED(F21,K21,0)&amp;M21))</f>
        <v/>
      </c>
      <c r="H21" s="187"/>
      <c r="I21" s="189"/>
      <c r="K21" s="215"/>
      <c r="L21" t="str">
        <f t="shared" ca="1" si="0"/>
        <v>b</v>
      </c>
      <c r="M21" t="str">
        <f>REPT(" ",3-K21)&amp;IF(K21=0," ","")</f>
        <v xml:space="preserve">    </v>
      </c>
      <c r="O21" s="194"/>
      <c r="P21" s="208" t="str">
        <f>IF(ISNUMBER(D21),LOOKUP(D21,$AB$5:$AC$7),D21)</f>
        <v>小    　計</v>
      </c>
      <c r="Q21" s="208">
        <f t="shared" si="1"/>
        <v>0</v>
      </c>
      <c r="R21" s="301" t="str">
        <f t="shared" ca="1" si="2"/>
        <v/>
      </c>
      <c r="S21" s="305">
        <f>H21</f>
        <v>0</v>
      </c>
      <c r="T21" s="145"/>
      <c r="U21" s="216">
        <f ca="1">IF(L21="l","",IF(D21+F21&gt;0,SUM(Z21:AA21),-1))</f>
        <v>33219</v>
      </c>
      <c r="V21" s="386"/>
      <c r="W21" s="107"/>
      <c r="Z21" s="114">
        <f>IF(D21&gt;0,0,TRUNC(F21*T21+Y21*X21))</f>
        <v>0</v>
      </c>
      <c r="AA21">
        <f>IF($D21=1,SUM(Z$13:Z19)-SUM(AA$13:AA19),IF($D21=2,$AA$6,IF($D21=3,TRUNC($AA$6,-3))))</f>
        <v>33219</v>
      </c>
      <c r="AB21">
        <f ca="1">IF(OR(AC$8=0,L20="l",D21&gt;0,U21=-1),0,IF(L20="b",-U21,TRUNC(F20*T21)))</f>
        <v>0</v>
      </c>
      <c r="AC21">
        <f ca="1">IF($D21=1,SUM(AB$13:AB19)-SUM(AC$13:AC19),IF($D21=2,$AA$5,IF($D21=3,TRUNC($AA$5,-3))))</f>
        <v>0</v>
      </c>
    </row>
    <row r="22" spans="3:29" ht="15" customHeight="1" x14ac:dyDescent="0.15">
      <c r="C22" s="182"/>
      <c r="D22" s="214" t="s">
        <v>699</v>
      </c>
      <c r="E22" s="184"/>
      <c r="F22" s="227"/>
      <c r="G22" s="297" t="str">
        <f ca="1">IF(OR(AC$8=0,L22="b"),"",IF(L22="l",0,"("&amp;FIXED(-F22,K23,0)&amp;M22))</f>
        <v/>
      </c>
      <c r="H22" s="183"/>
      <c r="I22" s="185"/>
      <c r="L22" t="str">
        <f t="shared" ca="1" si="0"/>
        <v>b</v>
      </c>
      <c r="M22" t="str">
        <f>")"&amp;REPT(" ",2-K23)&amp;IF(K23=0," ","")</f>
        <v xml:space="preserve">) </v>
      </c>
      <c r="O22" s="194"/>
      <c r="P22" s="317" t="str">
        <f>D22</f>
        <v>　耐衝撃性</v>
      </c>
      <c r="Q22" s="207">
        <f t="shared" si="1"/>
        <v>0</v>
      </c>
      <c r="R22" s="300" t="str">
        <f t="shared" ca="1" si="2"/>
        <v/>
      </c>
      <c r="S22" s="304"/>
      <c r="T22" s="144"/>
      <c r="U22" s="206">
        <f ca="1">IF(OR(AC$8=0,SUM(Z23:AC23)=0),1,IF(L22="l","",SUM(AB23:AC23)))</f>
        <v>1</v>
      </c>
      <c r="V22" s="385"/>
      <c r="W22" s="50"/>
      <c r="Z22"/>
    </row>
    <row r="23" spans="3:29" ht="15" customHeight="1" x14ac:dyDescent="0.15">
      <c r="C23" s="186" t="s">
        <v>12</v>
      </c>
      <c r="D23" s="213" t="s">
        <v>353</v>
      </c>
      <c r="E23" s="188" t="s">
        <v>380</v>
      </c>
      <c r="F23" s="226">
        <v>42.4</v>
      </c>
      <c r="G23" s="296" t="str">
        <f ca="1">IF(L23="b","",IF(L23="l",0,FIXED(F23,K23,0)&amp;M23))</f>
        <v xml:space="preserve">42.4  </v>
      </c>
      <c r="H23" s="187" t="s">
        <v>311</v>
      </c>
      <c r="I23" s="189" t="s">
        <v>53</v>
      </c>
      <c r="K23" s="215">
        <v>1</v>
      </c>
      <c r="L23" t="str">
        <f t="shared" ca="1" si="0"/>
        <v>v</v>
      </c>
      <c r="M23" t="str">
        <f>REPT(" ",3-K23)&amp;IF(K23=0," ","")</f>
        <v xml:space="preserve">  </v>
      </c>
      <c r="O23" s="194"/>
      <c r="P23" s="256" t="str">
        <f>IF(ISNUMBER(D23),LOOKUP(D23,$AB$5:$AC$7),D23)</f>
        <v>硬質ビニル電線管　</v>
      </c>
      <c r="Q23" s="208" t="str">
        <f t="shared" si="1"/>
        <v>HIVE (16)</v>
      </c>
      <c r="R23" s="301" t="str">
        <f t="shared" ca="1" si="2"/>
        <v xml:space="preserve">42.4  </v>
      </c>
      <c r="S23" s="305" t="str">
        <f>H23</f>
        <v>ｍ</v>
      </c>
      <c r="T23" s="145">
        <v>87</v>
      </c>
      <c r="U23" s="216">
        <f ca="1">IF(L23="l","",IF(D23+F23&gt;0,SUM(Z23:AA23),-1))</f>
        <v>3688</v>
      </c>
      <c r="V23" s="386">
        <v>2</v>
      </c>
      <c r="W23" s="107" t="str">
        <f>I23</f>
        <v>屋内露出</v>
      </c>
      <c r="Z23" s="114">
        <f>IF(D23&gt;0,0,TRUNC(F23*T23+Y23*X23))</f>
        <v>3688</v>
      </c>
      <c r="AA23" t="b">
        <f>IF($D23=1,SUM(Z$13:Z21)-SUM(AA$13:AA21),IF($D23=2,$AA$6,IF($D23=3,TRUNC($AA$6,-3))))</f>
        <v>0</v>
      </c>
      <c r="AB23">
        <f ca="1">IF(OR(AC$8=0,L22="l",D23&gt;0,U23=-1),0,IF(L22="b",-U23,TRUNC(F22*T23)))</f>
        <v>0</v>
      </c>
      <c r="AC23" t="b">
        <f>IF($D23=1,SUM(AB$13:AB21)-SUM(AC$13:AC21),IF($D23=2,$AA$5,IF($D23=3,TRUNC($AA$5,-3))))</f>
        <v>0</v>
      </c>
    </row>
    <row r="24" spans="3:29" ht="15" customHeight="1" x14ac:dyDescent="0.15">
      <c r="C24" s="182"/>
      <c r="D24" s="210"/>
      <c r="E24" s="184"/>
      <c r="F24" s="227"/>
      <c r="G24" s="297" t="str">
        <f ca="1">IF(OR(AC$8=0,L24="b"),"",IF(L24="l",0,"("&amp;FIXED(-F24,K25,0)&amp;M24))</f>
        <v/>
      </c>
      <c r="H24" s="183"/>
      <c r="I24" s="185"/>
      <c r="L24" t="str">
        <f t="shared" ca="1" si="0"/>
        <v>b</v>
      </c>
      <c r="M24" t="str">
        <f>")"&amp;REPT(" ",2-K25)&amp;IF(K25=0," ","")</f>
        <v xml:space="preserve">) </v>
      </c>
      <c r="O24" s="194" t="s">
        <v>85</v>
      </c>
      <c r="P24" s="207">
        <f>D24</f>
        <v>0</v>
      </c>
      <c r="Q24" s="207">
        <f t="shared" si="1"/>
        <v>0</v>
      </c>
      <c r="R24" s="300" t="str">
        <f t="shared" ca="1" si="2"/>
        <v/>
      </c>
      <c r="S24" s="304"/>
      <c r="T24" s="144"/>
      <c r="U24" s="206">
        <f ca="1">IF(OR(AC$8=0,SUM(Z25:AC25)=0),1,IF(L24="l","",SUM(AB25:AC25)))</f>
        <v>1</v>
      </c>
      <c r="V24" s="397"/>
      <c r="W24" s="50"/>
      <c r="Z24"/>
    </row>
    <row r="25" spans="3:29" ht="15" customHeight="1" x14ac:dyDescent="0.15">
      <c r="C25" s="186"/>
      <c r="D25" s="205" t="s">
        <v>242</v>
      </c>
      <c r="E25" s="188" t="s">
        <v>375</v>
      </c>
      <c r="F25" s="226">
        <v>2.9</v>
      </c>
      <c r="G25" s="296" t="str">
        <f ca="1">IF(L25="b","",IF(L25="l",0,FIXED(F25,K25,0)&amp;M25))</f>
        <v xml:space="preserve">2.9  </v>
      </c>
      <c r="H25" s="187" t="s">
        <v>311</v>
      </c>
      <c r="I25" s="189" t="s">
        <v>446</v>
      </c>
      <c r="K25" s="215">
        <v>1</v>
      </c>
      <c r="L25" t="str">
        <f t="shared" ca="1" si="0"/>
        <v>v</v>
      </c>
      <c r="M25" t="str">
        <f>REPT(" ",3-K25)&amp;IF(K25=0," ","")</f>
        <v xml:space="preserve">  </v>
      </c>
      <c r="O25" s="194"/>
      <c r="P25" s="208" t="str">
        <f>IF(ISNUMBER(D25),LOOKUP(D25,$AB$5:$AC$7),D25)</f>
        <v>〃</v>
      </c>
      <c r="Q25" s="208" t="str">
        <f t="shared" si="1"/>
        <v>HIVE (22)</v>
      </c>
      <c r="R25" s="301" t="str">
        <f t="shared" ca="1" si="2"/>
        <v xml:space="preserve">2.9  </v>
      </c>
      <c r="S25" s="305" t="str">
        <f>H25</f>
        <v>ｍ</v>
      </c>
      <c r="T25" s="145">
        <v>103</v>
      </c>
      <c r="U25" s="216">
        <f ca="1">IF(L25="l","",IF(D25+F25&gt;0,SUM(Z25:AA25),-1))</f>
        <v>298</v>
      </c>
      <c r="V25" s="386">
        <v>3</v>
      </c>
      <c r="W25" s="107" t="str">
        <f>I25</f>
        <v xml:space="preserve"> 　〃</v>
      </c>
      <c r="Z25" s="114">
        <f>IF(D25&gt;0,0,TRUNC(F25*T25+Y25*X25))</f>
        <v>298</v>
      </c>
      <c r="AA25" t="b">
        <f>IF($D25=1,SUM(Z$13:Z23)-SUM(AA$13:AA23),IF($D25=2,$AA$6,IF($D25=3,TRUNC($AA$6,-3))))</f>
        <v>0</v>
      </c>
      <c r="AB25">
        <f ca="1">IF(OR(AC$8=0,L24="l",D25&gt;0,U25=-1),0,IF(L24="b",-U25,TRUNC(F24*T25)))</f>
        <v>0</v>
      </c>
      <c r="AC25" t="b">
        <f>IF($D25=1,SUM(AB$13:AB23)-SUM(AC$13:AC23),IF($D25=2,$AA$5,IF($D25=3,TRUNC($AA$5,-3))))</f>
        <v>0</v>
      </c>
    </row>
    <row r="26" spans="3:29" ht="15" customHeight="1" x14ac:dyDescent="0.15">
      <c r="C26" s="182"/>
      <c r="D26" s="212" t="s">
        <v>590</v>
      </c>
      <c r="E26" s="184"/>
      <c r="F26" s="227"/>
      <c r="G26" s="297" t="str">
        <f ca="1">IF(OR(AC$8=0,L26="b"),"",IF(L26="l",0,"("&amp;FIXED(-F26,K27,0)&amp;M26))</f>
        <v/>
      </c>
      <c r="H26" s="183"/>
      <c r="I26" s="185"/>
      <c r="L26" t="str">
        <f t="shared" ref="L26:L47" ca="1" si="3">CELL("type",F26)</f>
        <v>b</v>
      </c>
      <c r="M26" t="str">
        <f>")"&amp;REPT(" ",2-K27)&amp;IF(K27=0," ","")</f>
        <v xml:space="preserve">) </v>
      </c>
      <c r="O26" s="194"/>
      <c r="P26" s="317" t="str">
        <f>D26</f>
        <v>　合成樹脂製</v>
      </c>
      <c r="Q26" s="207">
        <f>E26</f>
        <v>0</v>
      </c>
      <c r="R26" s="300" t="str">
        <f t="shared" ref="R26:R47" ca="1" si="4">G26</f>
        <v/>
      </c>
      <c r="S26" s="304"/>
      <c r="T26" s="144"/>
      <c r="U26" s="206">
        <f ca="1">IF(OR(AC$8=0,SUM(Z27:AC27)=0),1,IF(L26="l","",SUM(AB27:AC27)))</f>
        <v>1</v>
      </c>
      <c r="V26" s="397"/>
      <c r="W26" s="50"/>
      <c r="Z26"/>
    </row>
    <row r="27" spans="3:29" ht="15" customHeight="1" x14ac:dyDescent="0.15">
      <c r="C27" s="186"/>
      <c r="D27" s="213" t="s">
        <v>591</v>
      </c>
      <c r="E27" s="188" t="s">
        <v>441</v>
      </c>
      <c r="F27" s="226">
        <v>29.7</v>
      </c>
      <c r="G27" s="296" t="str">
        <f ca="1">IF(L27="b","",IF(L27="l",0,FIXED(F27,K27,0)&amp;M27))</f>
        <v xml:space="preserve">29.7  </v>
      </c>
      <c r="H27" s="187" t="s">
        <v>8</v>
      </c>
      <c r="I27" s="189" t="s">
        <v>53</v>
      </c>
      <c r="K27" s="215">
        <v>1</v>
      </c>
      <c r="L27" t="str">
        <f t="shared" ca="1" si="3"/>
        <v>v</v>
      </c>
      <c r="M27" t="str">
        <f>REPT(" ",3-K27)&amp;IF(K27=0," ","")</f>
        <v xml:space="preserve">  </v>
      </c>
      <c r="O27" s="194"/>
      <c r="P27" s="256" t="str">
        <f>IF(ISNUMBER(D27),LOOKUP(D27,$AB$5:$AC$7),D27)</f>
        <v>可とう電線管　</v>
      </c>
      <c r="Q27" s="208" t="str">
        <f>E27</f>
        <v>PF-S (16)</v>
      </c>
      <c r="R27" s="301" t="str">
        <f t="shared" ca="1" si="4"/>
        <v xml:space="preserve">29.7  </v>
      </c>
      <c r="S27" s="305" t="str">
        <f>H27</f>
        <v>ｍ</v>
      </c>
      <c r="T27" s="145">
        <v>56</v>
      </c>
      <c r="U27" s="216">
        <f ca="1">IF(L27="l","",IF(D27+F27&gt;0,SUM(Z27:AA27),-1))</f>
        <v>1663</v>
      </c>
      <c r="V27" s="386">
        <v>12</v>
      </c>
      <c r="W27" s="107" t="str">
        <f>I27</f>
        <v>屋内露出</v>
      </c>
      <c r="Z27" s="114">
        <f>IF(D27&gt;0,0,TRUNC(F27*T27+Y27*X27))</f>
        <v>1663</v>
      </c>
      <c r="AA27" t="b">
        <f>IF($D27=1,SUM(Z$13:Z25)-SUM(AA$13:AA25),IF($D27=2,$AA$6,IF($D27=3,TRUNC($AA$6,-3))))</f>
        <v>0</v>
      </c>
      <c r="AB27">
        <f ca="1">IF(OR(AC$8=0,L26="l",D27&gt;0,U27=-1),0,IF(L26="b",-U27,TRUNC(F26*T27)))</f>
        <v>0</v>
      </c>
      <c r="AC27" t="b">
        <f>IF($D27=1,SUM(AB$13:AB25)-SUM(AC$13:AC25),IF($D27=2,$AA$5,IF($D27=3,TRUNC($AA$5,-3))))</f>
        <v>0</v>
      </c>
    </row>
    <row r="28" spans="3:29" ht="15" customHeight="1" x14ac:dyDescent="0.15">
      <c r="C28" s="182"/>
      <c r="D28" s="210"/>
      <c r="E28" s="184"/>
      <c r="F28" s="227"/>
      <c r="G28" s="297" t="str">
        <f ca="1">IF(OR(AC$8=0,L28="b"),"",IF(L28="l",0,"("&amp;FIXED(-F28,K29,0)&amp;M28))</f>
        <v/>
      </c>
      <c r="H28" s="183"/>
      <c r="I28" s="185"/>
      <c r="L28" t="str">
        <f t="shared" ca="1" si="3"/>
        <v>b</v>
      </c>
      <c r="M28" t="str">
        <f>")"&amp;REPT(" ",2-K29)&amp;IF(K29=0," ","")</f>
        <v xml:space="preserve">) </v>
      </c>
      <c r="O28" s="194" t="s">
        <v>86</v>
      </c>
      <c r="P28" s="317">
        <f>D28</f>
        <v>0</v>
      </c>
      <c r="Q28" s="207">
        <f>E28</f>
        <v>0</v>
      </c>
      <c r="R28" s="300" t="str">
        <f t="shared" ca="1" si="4"/>
        <v/>
      </c>
      <c r="S28" s="304"/>
      <c r="T28" s="144"/>
      <c r="U28" s="206">
        <f ca="1">IF(OR(AC$8=0,SUM(Z29:AC29)=0),1,IF(L28="l","",SUM(AB29:AC29)))</f>
        <v>1</v>
      </c>
      <c r="V28" s="397"/>
      <c r="W28" s="50"/>
      <c r="Z28"/>
    </row>
    <row r="29" spans="3:29" ht="15" customHeight="1" x14ac:dyDescent="0.15">
      <c r="C29" s="186"/>
      <c r="D29" s="205" t="s">
        <v>236</v>
      </c>
      <c r="E29" s="188" t="s">
        <v>698</v>
      </c>
      <c r="F29" s="226">
        <v>6.5</v>
      </c>
      <c r="G29" s="296" t="str">
        <f ca="1">IF(L29="b","",IF(L29="l",0,FIXED(F29,K29,0)&amp;M29))</f>
        <v xml:space="preserve">6.5  </v>
      </c>
      <c r="H29" s="187" t="s">
        <v>8</v>
      </c>
      <c r="I29" s="189" t="s">
        <v>446</v>
      </c>
      <c r="K29" s="215">
        <v>1</v>
      </c>
      <c r="L29" t="str">
        <f t="shared" ca="1" si="3"/>
        <v>v</v>
      </c>
      <c r="M29" t="str">
        <f>REPT(" ",3-K29)&amp;IF(K29=0," ","")</f>
        <v xml:space="preserve">  </v>
      </c>
      <c r="O29" s="194"/>
      <c r="P29" s="256" t="str">
        <f>IF(ISNUMBER(D29),LOOKUP(D29,$AB$5:$AC$7),D29)</f>
        <v>〃</v>
      </c>
      <c r="Q29" s="208" t="str">
        <f>E29</f>
        <v>PF-S (22)</v>
      </c>
      <c r="R29" s="301" t="str">
        <f t="shared" ca="1" si="4"/>
        <v xml:space="preserve">6.5  </v>
      </c>
      <c r="S29" s="305" t="str">
        <f>H29</f>
        <v>ｍ</v>
      </c>
      <c r="T29" s="145">
        <v>80</v>
      </c>
      <c r="U29" s="216">
        <f ca="1">IF(L29="l","",IF(D29+F29&gt;0,SUM(Z29:AA29),-1))</f>
        <v>520</v>
      </c>
      <c r="V29" s="386">
        <v>13</v>
      </c>
      <c r="W29" s="107" t="str">
        <f>I29</f>
        <v xml:space="preserve"> 　〃</v>
      </c>
      <c r="Z29" s="114">
        <f>IF(D29&gt;0,0,TRUNC(F29*T29+Y29*X29))</f>
        <v>520</v>
      </c>
      <c r="AA29" t="b">
        <f>IF($D29=1,SUM(Z$13:Z27)-SUM(AA$13:AA27),IF($D29=2,$AA$6,IF($D29=3,TRUNC($AA$6,-3))))</f>
        <v>0</v>
      </c>
      <c r="AB29">
        <f ca="1">IF(OR(AC$8=0,L28="l",D29&gt;0,U29=-1),0,IF(L28="b",-U29,TRUNC(F28*T29)))</f>
        <v>0</v>
      </c>
      <c r="AC29" t="b">
        <f>IF($D29=1,SUM(AB$13:AB27)-SUM(AC$13:AC27),IF($D29=2,$AA$5,IF($D29=3,TRUNC($AA$5,-3))))</f>
        <v>0</v>
      </c>
    </row>
    <row r="30" spans="3:29" ht="15" customHeight="1" x14ac:dyDescent="0.15">
      <c r="C30" s="182"/>
      <c r="D30" s="210"/>
      <c r="E30" s="184"/>
      <c r="F30" s="227"/>
      <c r="G30" s="297" t="str">
        <f ca="1">IF(OR(AC$8=0,L30="b"),"",IF(L30="l",0,"("&amp;FIXED(-F30,K31,0)&amp;M30))</f>
        <v/>
      </c>
      <c r="H30" s="183"/>
      <c r="I30" s="185"/>
      <c r="L30" t="str">
        <f t="shared" ca="1" si="3"/>
        <v>b</v>
      </c>
      <c r="M30" t="str">
        <f>")"&amp;REPT(" ",2-K31)&amp;IF(K31=0," ","")</f>
        <v xml:space="preserve">)   </v>
      </c>
      <c r="O30" s="194"/>
      <c r="P30" s="207">
        <f>D30</f>
        <v>0</v>
      </c>
      <c r="Q30" s="207">
        <f>E30</f>
        <v>0</v>
      </c>
      <c r="R30" s="300" t="str">
        <f t="shared" ca="1" si="4"/>
        <v/>
      </c>
      <c r="S30" s="304"/>
      <c r="T30" s="144"/>
      <c r="U30" s="206">
        <f ca="1">IF(OR(AC$8=0,SUM(Z31:AC31)=0),1,IF(L30="l","",SUM(AB31:AC31)))</f>
        <v>1</v>
      </c>
      <c r="V30" s="385"/>
      <c r="W30" s="197" t="str">
        <f ca="1">IF(OR(AC$8=0,Y30+Y31=0),"",TEXT(-Y30,"(#,0)"))</f>
        <v/>
      </c>
      <c r="Y30">
        <f ca="1">SUM(AB21:AB29)</f>
        <v>0</v>
      </c>
      <c r="Z30"/>
    </row>
    <row r="31" spans="3:29" ht="15" customHeight="1" x14ac:dyDescent="0.15">
      <c r="C31" s="186"/>
      <c r="D31" s="205" t="s">
        <v>233</v>
      </c>
      <c r="E31" s="188" t="s">
        <v>4</v>
      </c>
      <c r="F31" s="226">
        <v>1</v>
      </c>
      <c r="G31" s="296" t="str">
        <f ca="1">IF(L31="b","",IF(L31="l",0,FIXED(F31,K31,0)&amp;M31))</f>
        <v xml:space="preserve">1    </v>
      </c>
      <c r="H31" s="187" t="s">
        <v>99</v>
      </c>
      <c r="I31" s="189"/>
      <c r="K31" s="215"/>
      <c r="L31" t="str">
        <f t="shared" ca="1" si="3"/>
        <v>v</v>
      </c>
      <c r="M31" t="str">
        <f>REPT(" ",3-K31)&amp;IF(K31=0," ","")</f>
        <v xml:space="preserve">    </v>
      </c>
      <c r="O31" s="194"/>
      <c r="P31" s="208" t="str">
        <f>IF(ISNUMBER(D31),LOOKUP(D31,$AB$5:$AC$7),D31)</f>
        <v>付  属  材  料</v>
      </c>
      <c r="Q31" s="208" t="str">
        <f t="shared" ref="Q31:Q37" si="5">E31</f>
        <v>上記材料費の 90％</v>
      </c>
      <c r="R31" s="301" t="str">
        <f t="shared" ca="1" si="4"/>
        <v xml:space="preserve">1    </v>
      </c>
      <c r="S31" s="305" t="str">
        <f>H31</f>
        <v>式</v>
      </c>
      <c r="T31" s="145"/>
      <c r="U31" s="216">
        <f ca="1">IF(L31="l","",IF(D31+F31&gt;0,SUM(Z31:AA31),-1))</f>
        <v>5552</v>
      </c>
      <c r="V31" s="386"/>
      <c r="W31" s="142" t="str">
        <f>TEXT(Y31," #,0×")&amp;TEXT(X31,"0.00＝")</f>
        <v xml:space="preserve"> 6,169×0.90＝</v>
      </c>
      <c r="X31">
        <f>VALUE(RIGHT(E31,4))</f>
        <v>0.9</v>
      </c>
      <c r="Y31" s="114">
        <f>SUM(Z21:Z29)</f>
        <v>6169</v>
      </c>
      <c r="Z31" s="114">
        <f>IF(D31&gt;0,0,TRUNC(F31*T31+Y31*X31))</f>
        <v>5552</v>
      </c>
      <c r="AA31" t="b">
        <f>IF($D31=1,SUM(Z$13:Z29)-SUM(AA$13:AA29),IF($D31=2,$AA$6,IF($D31=3,TRUNC($AA$6,-3))))</f>
        <v>0</v>
      </c>
      <c r="AB31">
        <f ca="1">IF(OR(AC$8=0,L30="l",D31&gt;0,U31=-1),0,IF(L30="b",-U31,TRUNC(F30*T31)))</f>
        <v>0</v>
      </c>
      <c r="AC31" t="b">
        <f>IF($D31=1,SUM(AB$13:AB29)-SUM(AC$13:AC29),IF($D31=2,$AA$5,IF($D31=3,TRUNC($AA$5,-3))))</f>
        <v>0</v>
      </c>
    </row>
    <row r="32" spans="3:29" ht="15" customHeight="1" x14ac:dyDescent="0.15">
      <c r="C32" s="182"/>
      <c r="D32" s="212"/>
      <c r="E32" s="184"/>
      <c r="F32" s="227"/>
      <c r="G32" s="297" t="str">
        <f ca="1">IF(OR(AC$8=0,L32="b"),"",IF(L32="l",0,"("&amp;FIXED(-F32,K33,0)&amp;M32))</f>
        <v/>
      </c>
      <c r="H32" s="183"/>
      <c r="I32" s="185"/>
      <c r="L32" t="str">
        <f t="shared" ca="1" si="3"/>
        <v>b</v>
      </c>
      <c r="M32" t="str">
        <f>")"&amp;REPT(" ",2-K33)&amp;IF(K33=0," ","")</f>
        <v xml:space="preserve">)   </v>
      </c>
      <c r="O32" s="194" t="s">
        <v>38</v>
      </c>
      <c r="P32" s="207">
        <f>D32</f>
        <v>0</v>
      </c>
      <c r="Q32" s="207">
        <f t="shared" si="5"/>
        <v>0</v>
      </c>
      <c r="R32" s="300" t="str">
        <f t="shared" ca="1" si="4"/>
        <v/>
      </c>
      <c r="S32" s="304"/>
      <c r="T32" s="144"/>
      <c r="U32" s="206">
        <f ca="1">IF(OR(AC$8=0,SUM(Z33:AC33)=0),1,IF(L32="l","",SUM(AB33:AC33)))</f>
        <v>1</v>
      </c>
      <c r="V32" s="397"/>
      <c r="W32" s="50"/>
      <c r="Z32"/>
    </row>
    <row r="33" spans="3:29" ht="15" customHeight="1" x14ac:dyDescent="0.15">
      <c r="C33" s="186"/>
      <c r="D33" s="213"/>
      <c r="E33" s="188"/>
      <c r="F33" s="226"/>
      <c r="G33" s="296" t="str">
        <f ca="1">IF(L33="b","",IF(L33="l",0,FIXED(F33,K33,0)&amp;M33))</f>
        <v/>
      </c>
      <c r="H33" s="187"/>
      <c r="I33" s="189"/>
      <c r="K33" s="215"/>
      <c r="L33" t="str">
        <f t="shared" ca="1" si="3"/>
        <v>b</v>
      </c>
      <c r="M33" t="str">
        <f>REPT(" ",3-K33)&amp;IF(K33=0," ","")</f>
        <v xml:space="preserve">    </v>
      </c>
      <c r="O33" s="194"/>
      <c r="P33" s="208">
        <f>IF(ISNUMBER(D33),LOOKUP(D33,$AB$5:$AC$7),D33)</f>
        <v>0</v>
      </c>
      <c r="Q33" s="208">
        <f t="shared" si="5"/>
        <v>0</v>
      </c>
      <c r="R33" s="301" t="str">
        <f t="shared" ca="1" si="4"/>
        <v/>
      </c>
      <c r="S33" s="305">
        <f>H33</f>
        <v>0</v>
      </c>
      <c r="T33" s="145"/>
      <c r="U33" s="216">
        <f ca="1">IF(L33="l","",IF(D33+F33&gt;0,SUM(Z33:AA33),-1))</f>
        <v>-1</v>
      </c>
      <c r="V33" s="386"/>
      <c r="W33" s="107"/>
      <c r="Z33" s="114">
        <f>IF(D33&gt;0,0,TRUNC(F33*T33+Y33*X33))</f>
        <v>0</v>
      </c>
      <c r="AA33" t="b">
        <f>IF($D33=1,SUM(Z$13:Z31)-SUM(AA$13:AA31),IF($D33=2,$AA$6,IF($D33=3,TRUNC($AA$6,-3))))</f>
        <v>0</v>
      </c>
      <c r="AB33">
        <f ca="1">IF(OR(AC$8=0,L32="l",D33&gt;0,U33=-1),0,IF(L32="b",-U33,TRUNC(F32*T33)))</f>
        <v>0</v>
      </c>
      <c r="AC33" t="b">
        <f>IF($D33=1,SUM(AB$13:AB31)-SUM(AC$13:AC31),IF($D33=2,$AA$5,IF($D33=3,TRUNC($AA$5,-3))))</f>
        <v>0</v>
      </c>
    </row>
    <row r="34" spans="3:29" ht="15" customHeight="1" x14ac:dyDescent="0.15">
      <c r="C34" s="182"/>
      <c r="D34" s="210"/>
      <c r="E34" s="184"/>
      <c r="F34" s="227"/>
      <c r="G34" s="297" t="str">
        <f ca="1">IF(OR(AC$8=0,L34="b"),"",IF(L34="l",0,"("&amp;FIXED(-F34,K35,0)&amp;M34))</f>
        <v/>
      </c>
      <c r="H34" s="183"/>
      <c r="I34" s="185"/>
      <c r="L34" t="str">
        <f t="shared" ca="1" si="3"/>
        <v>b</v>
      </c>
      <c r="M34" t="str">
        <f>")"&amp;REPT(" ",2-K35)&amp;IF(K35=0," ","")</f>
        <v xml:space="preserve">) </v>
      </c>
      <c r="O34" s="194"/>
      <c r="P34" s="207">
        <f>D34</f>
        <v>0</v>
      </c>
      <c r="Q34" s="207">
        <f t="shared" si="5"/>
        <v>0</v>
      </c>
      <c r="R34" s="300" t="str">
        <f t="shared" ca="1" si="4"/>
        <v/>
      </c>
      <c r="S34" s="304"/>
      <c r="T34" s="149"/>
      <c r="U34" s="206">
        <f ca="1">IF(OR(AC$8=0,SUM(Z35:AC35)=0),1,IF(L34="l","",SUM(AB35:AC35)))</f>
        <v>1</v>
      </c>
      <c r="V34" s="394"/>
      <c r="W34" s="50"/>
      <c r="Z34"/>
    </row>
    <row r="35" spans="3:29" ht="15" customHeight="1" x14ac:dyDescent="0.15">
      <c r="C35" s="186"/>
      <c r="D35" s="205" t="s">
        <v>48</v>
      </c>
      <c r="E35" s="188" t="s">
        <v>645</v>
      </c>
      <c r="F35" s="226">
        <v>97.3</v>
      </c>
      <c r="G35" s="296" t="str">
        <f ca="1">IF(L35="b","",IF(L35="l",0,FIXED(F35,K35,0)&amp;M35))</f>
        <v xml:space="preserve">97.3  </v>
      </c>
      <c r="H35" s="187" t="s">
        <v>8</v>
      </c>
      <c r="I35" s="189"/>
      <c r="K35" s="215">
        <v>1</v>
      </c>
      <c r="L35" t="str">
        <f t="shared" ca="1" si="3"/>
        <v>v</v>
      </c>
      <c r="M35" t="str">
        <f>REPT(" ",3-K35)&amp;IF(K35=0," ","")</f>
        <v xml:space="preserve">  </v>
      </c>
      <c r="O35" s="194"/>
      <c r="P35" s="208" t="str">
        <f>IF(ISNUMBER(D35),LOOKUP(D35,$AB$5:$AC$7),D35)</f>
        <v>レースウェイ</v>
      </c>
      <c r="Q35" s="208" t="str">
        <f t="shared" si="5"/>
        <v>40×45</v>
      </c>
      <c r="R35" s="301" t="str">
        <f t="shared" ca="1" si="4"/>
        <v xml:space="preserve">97.3  </v>
      </c>
      <c r="S35" s="305" t="str">
        <f>H35</f>
        <v>ｍ</v>
      </c>
      <c r="T35" s="150">
        <v>472</v>
      </c>
      <c r="U35" s="216">
        <f ca="1">IF(L35="l","",IF(D35+F35&gt;0,SUM(Z35:AA35),-1))</f>
        <v>45925</v>
      </c>
      <c r="V35" s="395">
        <v>255</v>
      </c>
      <c r="W35" s="107"/>
      <c r="Z35" s="114">
        <f>IF(D35&gt;0,0,TRUNC(F35*T35+Y35*X35))</f>
        <v>45925</v>
      </c>
      <c r="AA35" t="b">
        <f>IF($D35=1,SUM(Z$13:Z33)-SUM(AA$13:AA33),IF($D35=2,$AA$6,IF($D35=3,TRUNC($AA$6,-3))))</f>
        <v>0</v>
      </c>
      <c r="AB35">
        <f ca="1">IF(OR(AC$8=0,L34="l",D35&gt;0,U35=-1),0,IF(L34="b",-U35,TRUNC(F34*T35)))</f>
        <v>0</v>
      </c>
      <c r="AC35" t="b">
        <f>IF($D35=1,SUM(AB$13:AB33)-SUM(AC$13:AC33),IF($D35=2,$AA$5,IF($D35=3,TRUNC($AA$5,-3))))</f>
        <v>0</v>
      </c>
    </row>
    <row r="36" spans="3:29" ht="15" customHeight="1" x14ac:dyDescent="0.15">
      <c r="C36" s="182"/>
      <c r="D36" s="210"/>
      <c r="E36" s="184"/>
      <c r="F36" s="227"/>
      <c r="G36" s="297" t="str">
        <f ca="1">IF(OR(AC$8=0,L36="b"),"",IF(L36="l",0,"("&amp;FIXED(-F36,K37,0)&amp;M36))</f>
        <v/>
      </c>
      <c r="H36" s="183"/>
      <c r="I36" s="185"/>
      <c r="L36" t="str">
        <f t="shared" ca="1" si="3"/>
        <v>b</v>
      </c>
      <c r="M36" t="str">
        <f>")"&amp;REPT(" ",2-K37)&amp;IF(K37=0," ","")</f>
        <v xml:space="preserve">)   </v>
      </c>
      <c r="O36" s="194"/>
      <c r="P36" s="207">
        <f>D36</f>
        <v>0</v>
      </c>
      <c r="Q36" s="207">
        <f t="shared" si="5"/>
        <v>0</v>
      </c>
      <c r="R36" s="300" t="str">
        <f t="shared" ca="1" si="4"/>
        <v/>
      </c>
      <c r="S36" s="304"/>
      <c r="T36" s="149"/>
      <c r="U36" s="206">
        <f ca="1">IF(OR(AC$8=0,SUM(Z37:AC37)=0),1,IF(L36="l","",SUM(AB37:AC37)))</f>
        <v>1</v>
      </c>
      <c r="V36" s="394"/>
      <c r="W36" s="50" t="str">
        <f ca="1">IF(OR(AC$8=0,SUM(Z37:AC37)=0),"",CONCATENATE("(",FIXED(-#REF!,0),")"))</f>
        <v/>
      </c>
      <c r="Y36">
        <f ca="1">SUM(AB35:AB35)</f>
        <v>0</v>
      </c>
      <c r="Z36"/>
    </row>
    <row r="37" spans="3:29" ht="15" customHeight="1" x14ac:dyDescent="0.15">
      <c r="C37" s="186"/>
      <c r="D37" s="205" t="s">
        <v>233</v>
      </c>
      <c r="E37" s="188" t="s">
        <v>25</v>
      </c>
      <c r="F37" s="226">
        <v>1</v>
      </c>
      <c r="G37" s="296" t="str">
        <f ca="1">IF(L37="b","",IF(L37="l",0,FIXED(F37,K37,0)&amp;M37))</f>
        <v xml:space="preserve">1    </v>
      </c>
      <c r="H37" s="187" t="s">
        <v>99</v>
      </c>
      <c r="I37" s="189"/>
      <c r="K37" s="215"/>
      <c r="L37" t="str">
        <f t="shared" ca="1" si="3"/>
        <v>v</v>
      </c>
      <c r="M37" t="str">
        <f>REPT(" ",3-K37)&amp;IF(K37=0," ","")</f>
        <v xml:space="preserve">    </v>
      </c>
      <c r="O37" s="194"/>
      <c r="P37" s="208" t="str">
        <f>IF(ISNUMBER(D37),LOOKUP(D37,$AB$5:$AC$7),D37)</f>
        <v>付  属  材  料</v>
      </c>
      <c r="Q37" s="208" t="str">
        <f t="shared" si="5"/>
        <v>上記材料費の 30％</v>
      </c>
      <c r="R37" s="301" t="str">
        <f t="shared" ca="1" si="4"/>
        <v xml:space="preserve">1    </v>
      </c>
      <c r="S37" s="305" t="str">
        <f>H37</f>
        <v>式</v>
      </c>
      <c r="T37" s="150"/>
      <c r="U37" s="216">
        <f ca="1">IF(L37="l","",IF(D37+F37&gt;0,SUM(Z37:AA37),-1))</f>
        <v>13777</v>
      </c>
      <c r="V37" s="395"/>
      <c r="W37" s="107" t="str">
        <f>TEXT(Y37," #,0×")&amp;TEXT(X37,"0.00＝")</f>
        <v xml:space="preserve"> 45,925×0.30＝</v>
      </c>
      <c r="X37">
        <f>VALUE(RIGHT(E37,4))</f>
        <v>0.3</v>
      </c>
      <c r="Y37" s="114">
        <f>SUM(Z35:Z35)</f>
        <v>45925</v>
      </c>
      <c r="Z37" s="114">
        <f>IF(D37&gt;0,0,TRUNC(F37*T37+Y37*X37))</f>
        <v>13777</v>
      </c>
      <c r="AA37" t="b">
        <f>IF($D37=1,SUM(Z$13:Z35)-SUM(AA$13:AA35),IF($D37=2,$AA$6,IF($D37=3,TRUNC($AA$6,-3))))</f>
        <v>0</v>
      </c>
      <c r="AB37">
        <f ca="1">IF(OR(AC$8=0,L36="l",D37&gt;0,U37=-1),0,IF(L36="b",-U37,TRUNC(F36*T37)))</f>
        <v>0</v>
      </c>
      <c r="AC37" t="b">
        <f>IF($D37=1,SUM(AB$13:AB35)-SUM(AC$13:AC35),IF($D37=2,$AA$5,IF($D37=3,TRUNC($AA$5,-3))))</f>
        <v>0</v>
      </c>
    </row>
    <row r="38" spans="3:29" ht="15" customHeight="1" x14ac:dyDescent="0.15">
      <c r="C38" s="182"/>
      <c r="D38" s="210"/>
      <c r="E38" s="184"/>
      <c r="F38" s="227"/>
      <c r="G38" s="297" t="str">
        <f ca="1">IF(OR(AC$8=0,L38="b"),"",IF(L38="l",0,"("&amp;FIXED(-F38,K39,0)&amp;M38))</f>
        <v/>
      </c>
      <c r="H38" s="183"/>
      <c r="I38" s="185"/>
      <c r="L38" t="str">
        <f t="shared" ca="1" si="3"/>
        <v>b</v>
      </c>
      <c r="M38" t="str">
        <f>")"&amp;REPT(" ",2-K39)&amp;IF(K39=0," ","")</f>
        <v xml:space="preserve">)   </v>
      </c>
      <c r="O38" s="194"/>
      <c r="P38" s="207">
        <f>D38</f>
        <v>0</v>
      </c>
      <c r="Q38" s="207">
        <f>E38</f>
        <v>0</v>
      </c>
      <c r="R38" s="300" t="str">
        <f t="shared" ca="1" si="4"/>
        <v/>
      </c>
      <c r="S38" s="304"/>
      <c r="T38" s="144"/>
      <c r="U38" s="206">
        <f ca="1">IF(OR(AC$8=0,SUM(Z39:AC39)=0),1,IF(L38="l","",SUM(AB39:AC39)))</f>
        <v>1</v>
      </c>
      <c r="V38" s="385"/>
      <c r="W38" s="50"/>
      <c r="Z38"/>
    </row>
    <row r="39" spans="3:29" ht="15" customHeight="1" x14ac:dyDescent="0.15">
      <c r="C39" s="186"/>
      <c r="D39" s="205"/>
      <c r="E39" s="188"/>
      <c r="F39" s="226"/>
      <c r="G39" s="296" t="str">
        <f ca="1">IF(L39="b","",IF(L39="l",0,FIXED(F39,K39,0)&amp;M39))</f>
        <v/>
      </c>
      <c r="H39" s="187"/>
      <c r="I39" s="189"/>
      <c r="K39" s="215"/>
      <c r="L39" t="str">
        <f t="shared" ca="1" si="3"/>
        <v>b</v>
      </c>
      <c r="M39" t="str">
        <f>REPT(" ",3-K39)&amp;IF(K39=0," ","")</f>
        <v xml:space="preserve">    </v>
      </c>
      <c r="O39" s="194"/>
      <c r="P39" s="208">
        <f>IF(ISNUMBER(D39),LOOKUP(D39,$AB$5:$AC$7),D39)</f>
        <v>0</v>
      </c>
      <c r="Q39" s="208">
        <f>E39</f>
        <v>0</v>
      </c>
      <c r="R39" s="301" t="str">
        <f t="shared" ca="1" si="4"/>
        <v/>
      </c>
      <c r="S39" s="305">
        <f>H39</f>
        <v>0</v>
      </c>
      <c r="T39" s="145"/>
      <c r="U39" s="216">
        <f ca="1">IF(L39="l","",IF(D39+F39&gt;0,SUM(Z39:AA39),-1))</f>
        <v>-1</v>
      </c>
      <c r="V39" s="386"/>
      <c r="W39" s="107"/>
      <c r="Z39" s="114">
        <f>IF(D39&gt;0,0,TRUNC(F39*T39+Y39*X39))</f>
        <v>0</v>
      </c>
      <c r="AA39" t="b">
        <f>IF($D39=1,SUM(Z$13:Z37)-SUM(AA$13:AA37),IF($D39=2,$AA$6,IF($D39=3,TRUNC($AA$6,-3))))</f>
        <v>0</v>
      </c>
      <c r="AB39">
        <f ca="1">IF(OR(AC$8=0,L38="l",D39&gt;0,U39=-1),0,IF(L38="b",-U39,TRUNC(F38*T39)))</f>
        <v>0</v>
      </c>
      <c r="AC39" t="b">
        <f>IF($D39=1,SUM(AB$13:AB37)-SUM(AC$13:AC37),IF($D39=2,$AA$5,IF($D39=3,TRUNC($AA$5,-3))))</f>
        <v>0</v>
      </c>
    </row>
    <row r="40" spans="3:29" ht="15" customHeight="1" x14ac:dyDescent="0.15">
      <c r="C40" s="182"/>
      <c r="D40" s="210"/>
      <c r="E40" s="184"/>
      <c r="F40" s="227"/>
      <c r="G40" s="297" t="str">
        <f ca="1">IF(OR(AC$8=0,L40="b"),"",IF(L40="l",0,"("&amp;FIXED(-F40,K41,0)&amp;M40))</f>
        <v/>
      </c>
      <c r="H40" s="183"/>
      <c r="I40" s="185"/>
      <c r="L40" t="str">
        <f t="shared" ca="1" si="3"/>
        <v>b</v>
      </c>
      <c r="M40" t="str">
        <f>")"&amp;REPT(" ",2-K41)&amp;IF(K41=0," ","")</f>
        <v xml:space="preserve">)   </v>
      </c>
      <c r="O40" s="194"/>
      <c r="P40" s="207">
        <f>D40</f>
        <v>0</v>
      </c>
      <c r="Q40" s="207">
        <f>E40</f>
        <v>0</v>
      </c>
      <c r="R40" s="300" t="str">
        <f t="shared" ca="1" si="4"/>
        <v/>
      </c>
      <c r="S40" s="304"/>
      <c r="T40" s="144"/>
      <c r="U40" s="206">
        <f ca="1">IF(OR(AC$8=0,SUM(Z41:AC41)=0),1,IF(L40="l","",SUM(AB41:AC41)))</f>
        <v>1</v>
      </c>
      <c r="V40" s="385"/>
      <c r="W40" s="50"/>
      <c r="Z40"/>
    </row>
    <row r="41" spans="3:29" ht="15" customHeight="1" x14ac:dyDescent="0.15">
      <c r="C41" s="186"/>
      <c r="D41" s="205">
        <v>1</v>
      </c>
      <c r="E41" s="188"/>
      <c r="F41" s="226"/>
      <c r="G41" s="296" t="str">
        <f ca="1">IF(L41="b","",IF(L41="l",0,FIXED(F41,K41,0)&amp;M41))</f>
        <v/>
      </c>
      <c r="H41" s="187"/>
      <c r="I41" s="189"/>
      <c r="K41" s="215"/>
      <c r="L41" t="str">
        <f t="shared" ca="1" si="3"/>
        <v>b</v>
      </c>
      <c r="M41" t="str">
        <f>REPT(" ",3-K41)&amp;IF(K41=0," ","")</f>
        <v xml:space="preserve">    </v>
      </c>
      <c r="O41" s="194"/>
      <c r="P41" s="208" t="str">
        <f>IF(ISNUMBER(D41),LOOKUP(D41,$AB$5:$AC$7),D41)</f>
        <v>小    　計</v>
      </c>
      <c r="Q41" s="208">
        <f>E41</f>
        <v>0</v>
      </c>
      <c r="R41" s="301" t="str">
        <f t="shared" ca="1" si="4"/>
        <v/>
      </c>
      <c r="S41" s="305">
        <f>H41</f>
        <v>0</v>
      </c>
      <c r="T41" s="145"/>
      <c r="U41" s="216">
        <f ca="1">IF(L41="l","",IF(D41+F41&gt;0,SUM(Z41:AA41),-1))</f>
        <v>71423</v>
      </c>
      <c r="V41" s="386"/>
      <c r="W41" s="107"/>
      <c r="Z41" s="114">
        <f>IF(D41&gt;0,0,TRUNC(F41*T41+Y41*X41))</f>
        <v>0</v>
      </c>
      <c r="AA41">
        <f>IF($D41=1,SUM(Z$13:Z39)-SUM(AA$13:AA39),IF($D41=2,$AA$6,IF($D41=3,TRUNC($AA$6,-3))))</f>
        <v>71423</v>
      </c>
      <c r="AB41">
        <f ca="1">IF(OR(AC$8=0,L40="l",D41&gt;0,U41=-1),0,IF(L40="b",-U41,TRUNC(F40*T41)))</f>
        <v>0</v>
      </c>
      <c r="AC41">
        <f ca="1">IF($D41=1,SUM(AB$13:AB39)-SUM(AC$13:AC39),IF($D41=2,$AA$5,IF($D41=3,TRUNC($AA$5,-3))))</f>
        <v>0</v>
      </c>
    </row>
    <row r="42" spans="3:29" ht="15" customHeight="1" x14ac:dyDescent="0.15">
      <c r="C42" s="182"/>
      <c r="D42" s="210"/>
      <c r="E42" s="184" t="s">
        <v>592</v>
      </c>
      <c r="F42" s="227"/>
      <c r="G42" s="297" t="str">
        <f ca="1">IF(OR(AC$8=0,L42="b"),"",IF(L42="l",0,"("&amp;FIXED(-F42,K43,0)&amp;M42))</f>
        <v/>
      </c>
      <c r="H42" s="183"/>
      <c r="I42" s="185"/>
      <c r="L42" t="str">
        <f t="shared" ca="1" si="3"/>
        <v>b</v>
      </c>
      <c r="M42" t="str">
        <f>")"&amp;REPT(" ",2-K43)&amp;IF(K43=0," ","")</f>
        <v xml:space="preserve">)   </v>
      </c>
      <c r="O42" s="194"/>
      <c r="P42" s="207">
        <f>D42</f>
        <v>0</v>
      </c>
      <c r="Q42" s="207" t="str">
        <f>E42</f>
        <v>逆富士型蛍光灯</v>
      </c>
      <c r="R42" s="300" t="str">
        <f t="shared" ca="1" si="4"/>
        <v/>
      </c>
      <c r="S42" s="304"/>
      <c r="T42" s="144"/>
      <c r="U42" s="206">
        <f ca="1">IF(OR(AC$8=0,SUM(Z43:AC43)=0),1,IF(L42="l","",SUM(AB43:AC43)))</f>
        <v>1</v>
      </c>
      <c r="V42" s="385"/>
      <c r="W42" s="50"/>
      <c r="Z42"/>
    </row>
    <row r="43" spans="3:29" ht="15" customHeight="1" x14ac:dyDescent="0.15">
      <c r="C43" s="186" t="s">
        <v>49</v>
      </c>
      <c r="D43" s="205" t="s">
        <v>381</v>
      </c>
      <c r="E43" s="188" t="s">
        <v>637</v>
      </c>
      <c r="F43" s="226">
        <v>7</v>
      </c>
      <c r="G43" s="296" t="str">
        <f ca="1">IF(L43="b","",IF(L43="l",0,FIXED(F43,K43,0)&amp;M43))</f>
        <v xml:space="preserve">7    </v>
      </c>
      <c r="H43" s="187" t="s">
        <v>383</v>
      </c>
      <c r="I43" s="189"/>
      <c r="K43" s="215"/>
      <c r="L43" t="str">
        <f t="shared" ca="1" si="3"/>
        <v>v</v>
      </c>
      <c r="M43" t="str">
        <f>REPT(" ",3-K43)&amp;IF(K43=0," ","")</f>
        <v xml:space="preserve">    </v>
      </c>
      <c r="O43" s="194"/>
      <c r="P43" s="208" t="str">
        <f>IF(ISNUMBER(D43),LOOKUP(D43,$AB$5:$AC$7),D43)</f>
        <v>照　明　器　具</v>
      </c>
      <c r="Q43" s="208" t="str">
        <f>E43</f>
        <v>FSS9-322</v>
      </c>
      <c r="R43" s="301" t="str">
        <f t="shared" ca="1" si="4"/>
        <v xml:space="preserve">7    </v>
      </c>
      <c r="S43" s="305" t="str">
        <f>H43</f>
        <v>台</v>
      </c>
      <c r="T43" s="145">
        <v>5400</v>
      </c>
      <c r="U43" s="216">
        <f ca="1">IF(L43="l","",IF(D43+F43&gt;0,SUM(Z43:AA43),-1))</f>
        <v>37800</v>
      </c>
      <c r="V43" s="386">
        <v>182</v>
      </c>
      <c r="W43" s="107"/>
      <c r="Z43" s="114">
        <f>IF(D43&gt;0,0,TRUNC(F43*T43+Y43*X43))</f>
        <v>37800</v>
      </c>
      <c r="AA43" t="b">
        <f>IF($D43=1,SUM(Z$13:Z41)-SUM(AA$13:AA41),IF($D43=2,$AA$6,IF($D43=3,TRUNC($AA$6,-3))))</f>
        <v>0</v>
      </c>
      <c r="AB43">
        <f ca="1">IF(OR(AC$8=0,L42="l",D43&gt;0,U43=-1),0,IF(L42="b",-U43,TRUNC(F42*T43)))</f>
        <v>0</v>
      </c>
      <c r="AC43" t="b">
        <f>IF($D43=1,SUM(AB$13:AB41)-SUM(AC$13:AC41),IF($D43=2,$AA$5,IF($D43=3,TRUNC($AA$5,-3))))</f>
        <v>0</v>
      </c>
    </row>
    <row r="44" spans="3:29" ht="15" customHeight="1" x14ac:dyDescent="0.15">
      <c r="C44" s="182"/>
      <c r="D44" s="210"/>
      <c r="E44" s="184" t="s">
        <v>592</v>
      </c>
      <c r="F44" s="227"/>
      <c r="G44" s="297" t="str">
        <f ca="1">IF(OR(AC$8=0,L44="b"),"",IF(L44="l",0,"("&amp;FIXED(-F44,K45,0)&amp;M44))</f>
        <v/>
      </c>
      <c r="H44" s="183"/>
      <c r="I44" s="185"/>
      <c r="L44" t="str">
        <f t="shared" ca="1" si="3"/>
        <v>b</v>
      </c>
      <c r="M44" t="str">
        <f>")"&amp;REPT(" ",2-K45)&amp;IF(K45=0," ","")</f>
        <v xml:space="preserve">)   </v>
      </c>
      <c r="O44" s="194" t="s">
        <v>13</v>
      </c>
      <c r="P44" s="207">
        <f>D44</f>
        <v>0</v>
      </c>
      <c r="Q44" s="207" t="str">
        <f t="shared" ref="Q44:Q65" si="6">E44</f>
        <v>逆富士型蛍光灯</v>
      </c>
      <c r="R44" s="300" t="str">
        <f t="shared" ca="1" si="4"/>
        <v/>
      </c>
      <c r="S44" s="304"/>
      <c r="T44" s="149"/>
      <c r="U44" s="206">
        <f ca="1">IF(OR(AC$8=0,SUM(Z45:AC45)=0),1,IF(L44="l","",SUM(AB45:AC45)))</f>
        <v>1</v>
      </c>
      <c r="V44" s="394"/>
      <c r="W44" s="50"/>
      <c r="Z44"/>
    </row>
    <row r="45" spans="3:29" ht="15" customHeight="1" x14ac:dyDescent="0.15">
      <c r="C45" s="186"/>
      <c r="D45" s="205" t="s">
        <v>236</v>
      </c>
      <c r="E45" s="188" t="s">
        <v>593</v>
      </c>
      <c r="F45" s="226">
        <v>1</v>
      </c>
      <c r="G45" s="296" t="str">
        <f ca="1">IF(L45="b","",IF(L45="l",0,FIXED(F45,K45,0)&amp;M45))</f>
        <v xml:space="preserve">1    </v>
      </c>
      <c r="H45" s="187" t="s">
        <v>383</v>
      </c>
      <c r="I45" s="189"/>
      <c r="K45" s="215"/>
      <c r="L45" t="str">
        <f t="shared" ca="1" si="3"/>
        <v>v</v>
      </c>
      <c r="M45" t="str">
        <f>REPT(" ",3-K45)&amp;IF(K45=0," ","")</f>
        <v xml:space="preserve">    </v>
      </c>
      <c r="O45" s="194"/>
      <c r="P45" s="208" t="str">
        <f>IF(ISNUMBER(D45),LOOKUP(D45,$AB$5:$AC$7),D45)</f>
        <v>〃</v>
      </c>
      <c r="Q45" s="208" t="str">
        <f t="shared" si="6"/>
        <v>K1-FSS9-322</v>
      </c>
      <c r="R45" s="301" t="str">
        <f t="shared" ca="1" si="4"/>
        <v xml:space="preserve">1    </v>
      </c>
      <c r="S45" s="305" t="str">
        <f>H45</f>
        <v>台</v>
      </c>
      <c r="T45" s="150">
        <v>26600</v>
      </c>
      <c r="U45" s="216">
        <f ca="1">IF(L45="l","",IF(D45+F45&gt;0,SUM(Z45:AA45),-1))</f>
        <v>26600</v>
      </c>
      <c r="V45" s="395">
        <v>183</v>
      </c>
      <c r="W45" s="107"/>
      <c r="Z45" s="114">
        <f>IF(D45&gt;0,0,TRUNC(F45*T45+Y45*X45))</f>
        <v>26600</v>
      </c>
      <c r="AA45" t="b">
        <f>IF($D45=1,SUM(Z$13:Z43)-SUM(AA$13:AA43),IF($D45=2,$AA$6,IF($D45=3,TRUNC($AA$6,-3))))</f>
        <v>0</v>
      </c>
      <c r="AB45">
        <f ca="1">IF(OR(AC$8=0,L44="l",D45&gt;0,U45=-1),0,IF(L44="b",-U45,TRUNC(F44*T45)))</f>
        <v>0</v>
      </c>
      <c r="AC45" t="b">
        <f>IF($D45=1,SUM(AB$13:AB43)-SUM(AC$13:AC43),IF($D45=2,$AA$5,IF($D45=3,TRUNC($AA$5,-3))))</f>
        <v>0</v>
      </c>
    </row>
    <row r="46" spans="3:29" ht="15" customHeight="1" x14ac:dyDescent="0.15">
      <c r="C46" s="182"/>
      <c r="D46" s="210"/>
      <c r="E46" s="184" t="s">
        <v>592</v>
      </c>
      <c r="F46" s="227"/>
      <c r="G46" s="297" t="str">
        <f ca="1">IF(OR(AC$8=0,L46="b"),"",IF(L46="l",0,"("&amp;FIXED(-F46,K47,0)&amp;M46))</f>
        <v/>
      </c>
      <c r="H46" s="183"/>
      <c r="I46" s="185"/>
      <c r="L46" t="str">
        <f t="shared" ca="1" si="3"/>
        <v>b</v>
      </c>
      <c r="M46" t="str">
        <f>")"&amp;REPT(" ",2-K47)&amp;IF(K47=0," ","")</f>
        <v xml:space="preserve">)   </v>
      </c>
      <c r="O46" s="194"/>
      <c r="P46" s="207">
        <f>D46</f>
        <v>0</v>
      </c>
      <c r="Q46" s="207" t="str">
        <f t="shared" si="6"/>
        <v>逆富士型蛍光灯</v>
      </c>
      <c r="R46" s="300" t="str">
        <f t="shared" ca="1" si="4"/>
        <v/>
      </c>
      <c r="S46" s="304"/>
      <c r="T46" s="149"/>
      <c r="U46" s="206">
        <f ca="1">IF(OR(AC$8=0,SUM(Z47:AC47)=0),1,IF(L46="l","",SUM(AB47:AC47)))</f>
        <v>1</v>
      </c>
      <c r="V46" s="394"/>
      <c r="W46" s="50" t="str">
        <f ca="1">IF(OR(AC$8=0,SUM(Z47:AC47)=0),"",CONCATENATE("(",FIXED(-#REF!,0),")"))</f>
        <v/>
      </c>
      <c r="Z46"/>
    </row>
    <row r="47" spans="3:29" ht="15" customHeight="1" x14ac:dyDescent="0.15">
      <c r="C47" s="186"/>
      <c r="D47" s="205" t="s">
        <v>236</v>
      </c>
      <c r="E47" s="188" t="s">
        <v>594</v>
      </c>
      <c r="F47" s="226">
        <v>1</v>
      </c>
      <c r="G47" s="296" t="str">
        <f ca="1">IF(L47="b","",IF(L47="l",0,FIXED(F47,K47,0)&amp;M47))</f>
        <v xml:space="preserve">1    </v>
      </c>
      <c r="H47" s="187" t="s">
        <v>383</v>
      </c>
      <c r="I47" s="189"/>
      <c r="K47" s="215"/>
      <c r="L47" t="str">
        <f t="shared" ca="1" si="3"/>
        <v>v</v>
      </c>
      <c r="M47" t="str">
        <f>REPT(" ",3-K47)&amp;IF(K47=0," ","")</f>
        <v xml:space="preserve">    </v>
      </c>
      <c r="O47" s="194"/>
      <c r="P47" s="208" t="str">
        <f>IF(ISNUMBER(D47),LOOKUP(D47,$AB$5:$AC$7),D47)</f>
        <v>〃</v>
      </c>
      <c r="Q47" s="208" t="str">
        <f t="shared" si="6"/>
        <v>FSS9-161</v>
      </c>
      <c r="R47" s="301" t="str">
        <f t="shared" ca="1" si="4"/>
        <v xml:space="preserve">1    </v>
      </c>
      <c r="S47" s="305" t="str">
        <f>H47</f>
        <v>台</v>
      </c>
      <c r="T47" s="150">
        <v>4350</v>
      </c>
      <c r="U47" s="216">
        <f ca="1">IF(L47="l","",IF(D47+F47&gt;0,SUM(Z47:AA47),-1))</f>
        <v>4350</v>
      </c>
      <c r="V47" s="395">
        <v>181</v>
      </c>
      <c r="W47" s="107"/>
      <c r="Y47" s="114"/>
      <c r="Z47" s="114">
        <f>IF(D47&gt;0,0,TRUNC(F47*T47+Y47*X47))</f>
        <v>4350</v>
      </c>
      <c r="AA47" t="b">
        <f>IF($D47=1,SUM(Z$13:Z45)-SUM(AA$13:AA45),IF($D47=2,$AA$6,IF($D47=3,TRUNC($AA$6,-3))))</f>
        <v>0</v>
      </c>
      <c r="AB47">
        <f ca="1">IF(OR(AC$8=0,L46="l",D47&gt;0,U47=-1),0,IF(L46="b",-U47,TRUNC(F46*T47)))</f>
        <v>0</v>
      </c>
      <c r="AC47" t="b">
        <f>IF($D47=1,SUM(AB$13:AB45)-SUM(AC$13:AC45),IF($D47=2,$AA$5,IF($D47=3,TRUNC($AA$5,-3))))</f>
        <v>0</v>
      </c>
    </row>
    <row r="48" spans="3:29" ht="15" customHeight="1" x14ac:dyDescent="0.15">
      <c r="C48" s="182"/>
      <c r="D48" s="210"/>
      <c r="E48" s="184" t="s">
        <v>595</v>
      </c>
      <c r="F48" s="227"/>
      <c r="G48" s="297" t="str">
        <f ca="1">IF(OR(AC$8=0,L48="b"),"",IF(L48="l",0,"("&amp;FIXED(-F48,K49,0)&amp;M48))</f>
        <v/>
      </c>
      <c r="H48" s="183"/>
      <c r="I48" s="185"/>
      <c r="L48" t="str">
        <f t="shared" ref="L48:L57" ca="1" si="7">CELL("type",F48)</f>
        <v>b</v>
      </c>
      <c r="M48" t="str">
        <f>")"&amp;REPT(" ",2-K49)&amp;IF(K49=0," ","")</f>
        <v xml:space="preserve">)   </v>
      </c>
      <c r="O48" s="194" t="s">
        <v>705</v>
      </c>
      <c r="P48" s="207">
        <f>D48</f>
        <v>0</v>
      </c>
      <c r="Q48" s="207" t="str">
        <f t="shared" ref="Q48:Q57" si="8">E48</f>
        <v>反射笠型蛍光灯</v>
      </c>
      <c r="R48" s="300" t="str">
        <f t="shared" ref="R48:R57" ca="1" si="9">G48</f>
        <v/>
      </c>
      <c r="S48" s="304"/>
      <c r="T48" s="144"/>
      <c r="U48" s="206">
        <f ca="1">IF(OR(AC$8=0,SUM(Z49:AC49)=0),1,IF(L48="l","",SUM(AB49:AC49)))</f>
        <v>1</v>
      </c>
      <c r="V48" s="385"/>
      <c r="W48" s="50"/>
      <c r="Z48"/>
    </row>
    <row r="49" spans="3:29" ht="15" customHeight="1" x14ac:dyDescent="0.15">
      <c r="C49" s="186"/>
      <c r="D49" s="205" t="s">
        <v>236</v>
      </c>
      <c r="E49" s="188" t="s">
        <v>596</v>
      </c>
      <c r="F49" s="226">
        <v>8</v>
      </c>
      <c r="G49" s="296" t="str">
        <f ca="1">IF(L49="b","",IF(L49="l",0,FIXED(F49,K49,0)&amp;M49))</f>
        <v xml:space="preserve">8    </v>
      </c>
      <c r="H49" s="187" t="s">
        <v>383</v>
      </c>
      <c r="I49" s="189"/>
      <c r="K49" s="215"/>
      <c r="L49" t="str">
        <f t="shared" ca="1" si="7"/>
        <v>v</v>
      </c>
      <c r="M49" t="str">
        <f>REPT(" ",3-K49)&amp;IF(K49=0," ","")</f>
        <v xml:space="preserve">    </v>
      </c>
      <c r="O49" s="194"/>
      <c r="P49" s="208" t="str">
        <f>IF(ISNUMBER(D49),LOOKUP(D49,$AB$5:$AC$7),D49)</f>
        <v>〃</v>
      </c>
      <c r="Q49" s="208" t="str">
        <f t="shared" si="8"/>
        <v>FSR2-321</v>
      </c>
      <c r="R49" s="301" t="str">
        <f t="shared" ca="1" si="9"/>
        <v xml:space="preserve">8    </v>
      </c>
      <c r="S49" s="305" t="str">
        <f>H49</f>
        <v>台</v>
      </c>
      <c r="T49" s="145">
        <v>3460</v>
      </c>
      <c r="U49" s="216">
        <f ca="1">IF(L49="l","",IF(D49+F49&gt;0,SUM(Z49:AA49),-1))</f>
        <v>27680</v>
      </c>
      <c r="V49" s="386">
        <v>185</v>
      </c>
      <c r="W49" s="107"/>
      <c r="Z49" s="114">
        <f>IF(D49&gt;0,0,TRUNC(F49*T49+Y49*X49))</f>
        <v>27680</v>
      </c>
      <c r="AA49" t="b">
        <f>IF($D49=1,SUM(Z$13:Z47)-SUM(AA$13:AA47),IF($D49=2,$AA$6,IF($D49=3,TRUNC($AA$6,-3))))</f>
        <v>0</v>
      </c>
      <c r="AB49">
        <f ca="1">IF(OR(AC$8=0,L48="l",D49&gt;0,U49=-1),0,IF(L48="b",-U49,TRUNC(F48*T49)))</f>
        <v>0</v>
      </c>
      <c r="AC49" t="b">
        <f>IF($D49=1,SUM(AB$13:AB47)-SUM(AC$13:AC47),IF($D49=2,$AA$5,IF($D49=3,TRUNC($AA$5,-3))))</f>
        <v>0</v>
      </c>
    </row>
    <row r="50" spans="3:29" ht="15" customHeight="1" x14ac:dyDescent="0.15">
      <c r="C50" s="182"/>
      <c r="D50" s="210"/>
      <c r="E50" s="184" t="s">
        <v>595</v>
      </c>
      <c r="F50" s="227"/>
      <c r="G50" s="297" t="str">
        <f ca="1">IF(OR(AC$8=0,L50="b"),"",IF(L50="l",0,"("&amp;FIXED(-F50,K51,0)&amp;M50))</f>
        <v/>
      </c>
      <c r="H50" s="183"/>
      <c r="I50" s="185"/>
      <c r="L50" t="str">
        <f t="shared" ca="1" si="7"/>
        <v>b</v>
      </c>
      <c r="M50" t="str">
        <f>")"&amp;REPT(" ",2-K51)&amp;IF(K51=0," ","")</f>
        <v xml:space="preserve">)   </v>
      </c>
      <c r="O50" s="194"/>
      <c r="P50" s="207">
        <f>D50</f>
        <v>0</v>
      </c>
      <c r="Q50" s="207" t="str">
        <f t="shared" si="8"/>
        <v>反射笠型蛍光灯</v>
      </c>
      <c r="R50" s="300" t="str">
        <f t="shared" ca="1" si="9"/>
        <v/>
      </c>
      <c r="S50" s="304"/>
      <c r="T50" s="144"/>
      <c r="U50" s="206">
        <f ca="1">IF(OR(AC$8=0,SUM(Z51:AC51)=0),1,IF(L50="l","",SUM(AB51:AC51)))</f>
        <v>1</v>
      </c>
      <c r="V50" s="392"/>
      <c r="W50" s="197"/>
      <c r="Z50"/>
    </row>
    <row r="51" spans="3:29" ht="15" customHeight="1" x14ac:dyDescent="0.15">
      <c r="C51" s="186"/>
      <c r="D51" s="205" t="s">
        <v>236</v>
      </c>
      <c r="E51" s="188" t="s">
        <v>702</v>
      </c>
      <c r="F51" s="226">
        <v>1</v>
      </c>
      <c r="G51" s="296" t="str">
        <f ca="1">IF(L51="b","",IF(L51="l",0,FIXED(F51,K51,0)&amp;M51))</f>
        <v xml:space="preserve">1    </v>
      </c>
      <c r="H51" s="187" t="s">
        <v>383</v>
      </c>
      <c r="I51" s="189"/>
      <c r="K51" s="215"/>
      <c r="L51" t="str">
        <f t="shared" ca="1" si="7"/>
        <v>v</v>
      </c>
      <c r="M51" t="str">
        <f>REPT(" ",3-K51)&amp;IF(K51=0," ","")</f>
        <v xml:space="preserve">    </v>
      </c>
      <c r="O51" s="194"/>
      <c r="P51" s="208" t="str">
        <f>IF(ISNUMBER(D51),LOOKUP(D51,$AB$5:$AC$7),D51)</f>
        <v>〃</v>
      </c>
      <c r="Q51" s="208" t="str">
        <f t="shared" si="8"/>
        <v>K1-FSR2-321</v>
      </c>
      <c r="R51" s="301" t="str">
        <f t="shared" ca="1" si="9"/>
        <v xml:space="preserve">1    </v>
      </c>
      <c r="S51" s="305" t="str">
        <f>H51</f>
        <v>台</v>
      </c>
      <c r="T51" s="145">
        <v>24100</v>
      </c>
      <c r="U51" s="216">
        <f ca="1">IF(L51="l","",IF(D51+F51&gt;0,SUM(Z51:AA51),-1))</f>
        <v>24100</v>
      </c>
      <c r="V51" s="386">
        <v>188</v>
      </c>
      <c r="W51" s="142"/>
      <c r="Y51" s="114"/>
      <c r="Z51" s="114">
        <f>IF(D51&gt;0,0,TRUNC(F51*T51+Y51*X51))</f>
        <v>24100</v>
      </c>
      <c r="AA51" t="b">
        <f>IF($D51=1,SUM(Z$13:Z49)-SUM(AA$13:AA49),IF($D51=2,$AA$6,IF($D51=3,TRUNC($AA$6,-3))))</f>
        <v>0</v>
      </c>
      <c r="AB51">
        <f ca="1">IF(OR(AC$8=0,L50="l",D51&gt;0,U51=-1),0,IF(L50="b",-U51,TRUNC(F50*T51)))</f>
        <v>0</v>
      </c>
      <c r="AC51" t="b">
        <f>IF($D51=1,SUM(AB$13:AB49)-SUM(AC$13:AC49),IF($D51=2,$AA$5,IF($D51=3,TRUNC($AA$5,-3))))</f>
        <v>0</v>
      </c>
    </row>
    <row r="52" spans="3:29" ht="15" customHeight="1" x14ac:dyDescent="0.15">
      <c r="C52" s="182"/>
      <c r="D52" s="210"/>
      <c r="E52" s="184" t="s">
        <v>597</v>
      </c>
      <c r="F52" s="227"/>
      <c r="G52" s="297" t="str">
        <f ca="1">IF(OR(AC$8=0,L52="b"),"",IF(L52="l",0,"("&amp;FIXED(-F52,K53,0)&amp;M52))</f>
        <v/>
      </c>
      <c r="H52" s="183"/>
      <c r="I52" s="185"/>
      <c r="L52" t="str">
        <f t="shared" ca="1" si="7"/>
        <v>b</v>
      </c>
      <c r="M52" t="str">
        <f>")"&amp;REPT(" ",2-K53)&amp;IF(K53=0," ","")</f>
        <v xml:space="preserve">)   </v>
      </c>
      <c r="O52" s="194" t="s">
        <v>250</v>
      </c>
      <c r="P52" s="207">
        <f>D52</f>
        <v>0</v>
      </c>
      <c r="Q52" s="207" t="str">
        <f t="shared" si="8"/>
        <v>防湿･反射笠型蛍光灯 SUS製</v>
      </c>
      <c r="R52" s="300" t="str">
        <f t="shared" ca="1" si="9"/>
        <v/>
      </c>
      <c r="S52" s="304"/>
      <c r="T52" s="144"/>
      <c r="U52" s="206">
        <f ca="1">IF(OR(AC$8=0,SUM(Z53:AC53)=0),1,IF(L52="l","",SUM(AB53:AC53)))</f>
        <v>1</v>
      </c>
      <c r="V52" s="392"/>
      <c r="W52" s="197"/>
      <c r="Z52"/>
    </row>
    <row r="53" spans="3:29" ht="15" customHeight="1" x14ac:dyDescent="0.15">
      <c r="C53" s="186"/>
      <c r="D53" s="205" t="s">
        <v>236</v>
      </c>
      <c r="E53" s="188" t="s">
        <v>598</v>
      </c>
      <c r="F53" s="226">
        <v>5</v>
      </c>
      <c r="G53" s="296" t="str">
        <f ca="1">IF(L53="b","",IF(L53="l",0,FIXED(F53,K53,0)&amp;M53))</f>
        <v xml:space="preserve">5    </v>
      </c>
      <c r="H53" s="187" t="s">
        <v>383</v>
      </c>
      <c r="I53" s="189"/>
      <c r="K53" s="215"/>
      <c r="L53" t="str">
        <f t="shared" ca="1" si="7"/>
        <v>v</v>
      </c>
      <c r="M53" t="str">
        <f>REPT(" ",3-K53)&amp;IF(K53=0," ","")</f>
        <v xml:space="preserve">    </v>
      </c>
      <c r="O53" s="194"/>
      <c r="P53" s="208" t="str">
        <f>IF(ISNUMBER(D53),LOOKUP(D53,$AB$5:$AC$7),D53)</f>
        <v>〃</v>
      </c>
      <c r="Q53" s="208" t="str">
        <f t="shared" si="8"/>
        <v>FSR2MPA-322</v>
      </c>
      <c r="R53" s="301" t="str">
        <f t="shared" ca="1" si="9"/>
        <v xml:space="preserve">5    </v>
      </c>
      <c r="S53" s="305" t="str">
        <f>H53</f>
        <v>台</v>
      </c>
      <c r="T53" s="145">
        <v>13700</v>
      </c>
      <c r="U53" s="216">
        <f ca="1">IF(L53="l","",IF(D53+F53&gt;0,SUM(Z53:AA53),-1))</f>
        <v>68500</v>
      </c>
      <c r="V53" s="386">
        <v>187</v>
      </c>
      <c r="W53" s="142"/>
      <c r="Z53" s="114">
        <f>IF(D53&gt;0,0,TRUNC(F53*T53+Y53*X53))</f>
        <v>68500</v>
      </c>
      <c r="AA53" t="b">
        <f>IF($D53=1,SUM(Z$13:Z51)-SUM(AA$13:AA51),IF($D53=2,$AA$6,IF($D53=3,TRUNC($AA$6,-3))))</f>
        <v>0</v>
      </c>
      <c r="AB53">
        <f ca="1">IF(OR(AC$8=0,L52="l",D53&gt;0,U53=-1),0,IF(L52="b",-U53,TRUNC(F52*T53)))</f>
        <v>0</v>
      </c>
      <c r="AC53" t="b">
        <f>IF($D53=1,SUM(AB$13:AB51)-SUM(AC$13:AC51),IF($D53=2,$AA$5,IF($D53=3,TRUNC($AA$5,-3))))</f>
        <v>0</v>
      </c>
    </row>
    <row r="54" spans="3:29" ht="15" customHeight="1" x14ac:dyDescent="0.15">
      <c r="C54" s="182"/>
      <c r="D54" s="210"/>
      <c r="E54" s="184" t="s">
        <v>597</v>
      </c>
      <c r="F54" s="227"/>
      <c r="G54" s="297" t="str">
        <f ca="1">IF(OR(AC$8=0,L54="b"),"",IF(L54="l",0,"("&amp;FIXED(-F54,K55,0)&amp;M54))</f>
        <v/>
      </c>
      <c r="H54" s="183"/>
      <c r="I54" s="185"/>
      <c r="L54" t="str">
        <f t="shared" ca="1" si="7"/>
        <v>b</v>
      </c>
      <c r="M54" t="str">
        <f>")"&amp;REPT(" ",2-K55)&amp;IF(K55=0," ","")</f>
        <v xml:space="preserve">)   </v>
      </c>
      <c r="O54" s="194"/>
      <c r="P54" s="207">
        <f>D54</f>
        <v>0</v>
      </c>
      <c r="Q54" s="207" t="str">
        <f t="shared" si="8"/>
        <v>防湿･反射笠型蛍光灯 SUS製</v>
      </c>
      <c r="R54" s="300" t="str">
        <f t="shared" ca="1" si="9"/>
        <v/>
      </c>
      <c r="S54" s="304"/>
      <c r="T54" s="144"/>
      <c r="U54" s="206">
        <f ca="1">IF(OR(AC$8=0,SUM(Z55:AC55)=0),1,IF(L54="l","",SUM(AB55:AC55)))</f>
        <v>1</v>
      </c>
      <c r="V54" s="392"/>
      <c r="W54" s="197"/>
      <c r="Z54"/>
    </row>
    <row r="55" spans="3:29" ht="15" customHeight="1" x14ac:dyDescent="0.15">
      <c r="C55" s="186"/>
      <c r="D55" s="205" t="s">
        <v>236</v>
      </c>
      <c r="E55" s="188" t="s">
        <v>599</v>
      </c>
      <c r="F55" s="226">
        <v>6</v>
      </c>
      <c r="G55" s="296" t="str">
        <f ca="1">IF(L55="b","",IF(L55="l",0,FIXED(F55,K55,0)&amp;M55))</f>
        <v xml:space="preserve">6    </v>
      </c>
      <c r="H55" s="187" t="s">
        <v>383</v>
      </c>
      <c r="I55" s="189"/>
      <c r="K55" s="215"/>
      <c r="L55" t="str">
        <f t="shared" ca="1" si="7"/>
        <v>v</v>
      </c>
      <c r="M55" t="str">
        <f>REPT(" ",3-K55)&amp;IF(K55=0," ","")</f>
        <v xml:space="preserve">    </v>
      </c>
      <c r="O55" s="194"/>
      <c r="P55" s="208" t="str">
        <f>IF(ISNUMBER(D55),LOOKUP(D55,$AB$5:$AC$7),D55)</f>
        <v>〃</v>
      </c>
      <c r="Q55" s="208" t="str">
        <f t="shared" si="8"/>
        <v>K1-FSR2MPA-322</v>
      </c>
      <c r="R55" s="301" t="str">
        <f t="shared" ca="1" si="9"/>
        <v xml:space="preserve">6    </v>
      </c>
      <c r="S55" s="305" t="str">
        <f>H55</f>
        <v>台</v>
      </c>
      <c r="T55" s="145">
        <v>35460</v>
      </c>
      <c r="U55" s="216">
        <f ca="1">IF(L55="l","",IF(D55+F55&gt;0,SUM(Z55:AA55),-1))</f>
        <v>212760</v>
      </c>
      <c r="V55" s="386">
        <v>190</v>
      </c>
      <c r="W55" s="142"/>
      <c r="Y55" s="114"/>
      <c r="Z55" s="114">
        <f>IF(D55&gt;0,0,TRUNC(F55*T55+Y55*X55))</f>
        <v>212760</v>
      </c>
      <c r="AA55" t="b">
        <f>IF($D55=1,SUM(Z$13:Z53)-SUM(AA$13:AA53),IF($D55=2,$AA$6,IF($D55=3,TRUNC($AA$6,-3))))</f>
        <v>0</v>
      </c>
      <c r="AB55">
        <f ca="1">IF(OR(AC$8=0,L54="l",D55&gt;0,U55=-1),0,IF(L54="b",-U55,TRUNC(F54*T55)))</f>
        <v>0</v>
      </c>
      <c r="AC55" t="b">
        <f>IF($D55=1,SUM(AB$13:AB53)-SUM(AC$13:AC53),IF($D55=2,$AA$5,IF($D55=3,TRUNC($AA$5,-3))))</f>
        <v>0</v>
      </c>
    </row>
    <row r="56" spans="3:29" ht="15" customHeight="1" x14ac:dyDescent="0.15">
      <c r="C56" s="182"/>
      <c r="D56" s="210"/>
      <c r="E56" s="184" t="s">
        <v>600</v>
      </c>
      <c r="F56" s="227"/>
      <c r="G56" s="297" t="str">
        <f ca="1">IF(OR(AC$8=0,L56="b"),"",IF(L56="l",0,"("&amp;FIXED(-F56,K57,0)&amp;M56))</f>
        <v/>
      </c>
      <c r="H56" s="183"/>
      <c r="I56" s="185" t="s">
        <v>696</v>
      </c>
      <c r="L56" t="str">
        <f t="shared" ca="1" si="7"/>
        <v>b</v>
      </c>
      <c r="M56" t="str">
        <f>")"&amp;REPT(" ",2-K57)&amp;IF(K57=0," ","")</f>
        <v xml:space="preserve">)   </v>
      </c>
      <c r="O56" s="194" t="s">
        <v>251</v>
      </c>
      <c r="P56" s="207">
        <f>D56</f>
        <v>0</v>
      </c>
      <c r="Q56" s="207" t="str">
        <f t="shared" si="8"/>
        <v>防水・カバー付ブラケット</v>
      </c>
      <c r="R56" s="300" t="str">
        <f t="shared" ca="1" si="9"/>
        <v/>
      </c>
      <c r="S56" s="304"/>
      <c r="T56" s="144"/>
      <c r="U56" s="206">
        <f ca="1">IF(OR(AC$8=0,SUM(Z57:AC57)=0),1,IF(L56="l","",SUM(AB57:AC57)))</f>
        <v>1</v>
      </c>
      <c r="V56" s="385"/>
      <c r="W56" s="50" t="str">
        <f>I56</f>
        <v>ﾊﾟﾅｿﾆｯｸ電工</v>
      </c>
      <c r="Z56"/>
    </row>
    <row r="57" spans="3:29" ht="15" customHeight="1" x14ac:dyDescent="0.15">
      <c r="C57" s="186"/>
      <c r="D57" s="205" t="s">
        <v>236</v>
      </c>
      <c r="E57" s="188" t="s">
        <v>703</v>
      </c>
      <c r="F57" s="226">
        <v>2</v>
      </c>
      <c r="G57" s="296" t="str">
        <f ca="1">IF(L57="b","",IF(L57="l",0,FIXED(F57,K57,0)&amp;M57))</f>
        <v xml:space="preserve">2    </v>
      </c>
      <c r="H57" s="187" t="s">
        <v>383</v>
      </c>
      <c r="I57" s="189" t="s">
        <v>704</v>
      </c>
      <c r="K57" s="215"/>
      <c r="L57" t="str">
        <f t="shared" ca="1" si="7"/>
        <v>v</v>
      </c>
      <c r="M57" t="str">
        <f>REPT(" ",3-K57)&amp;IF(K57=0," ","")</f>
        <v xml:space="preserve">    </v>
      </c>
      <c r="O57" s="194"/>
      <c r="P57" s="208" t="str">
        <f>IF(ISNUMBER(D57),LOOKUP(D57,$AB$5:$AC$7),D57)</f>
        <v>〃</v>
      </c>
      <c r="Q57" s="208" t="str">
        <f t="shared" si="8"/>
        <v>FBF7RP-321</v>
      </c>
      <c r="R57" s="301" t="str">
        <f t="shared" ca="1" si="9"/>
        <v xml:space="preserve">2    </v>
      </c>
      <c r="S57" s="305" t="str">
        <f>H57</f>
        <v>台</v>
      </c>
      <c r="T57" s="145">
        <v>25200</v>
      </c>
      <c r="U57" s="216">
        <f ca="1">IF(L57="l","",IF(D57+F57&gt;0,SUM(Z57:AA57),-1))</f>
        <v>50400</v>
      </c>
      <c r="V57" s="386">
        <v>194</v>
      </c>
      <c r="W57" s="107" t="str">
        <f>I57</f>
        <v>FW21825Z相当品</v>
      </c>
      <c r="Y57" s="114"/>
      <c r="Z57" s="114">
        <f>IF(D57&gt;0,0,TRUNC(F57*T57+Y57*X57))</f>
        <v>50400</v>
      </c>
      <c r="AA57" t="b">
        <f>IF($D57=1,SUM(Z$13:Z55)-SUM(AA$13:AA55),IF($D57=2,$AA$6,IF($D57=3,TRUNC($AA$6,-3))))</f>
        <v>0</v>
      </c>
      <c r="AB57">
        <f ca="1">IF(OR(AC$8=0,L56="l",D57&gt;0,U57=-1),0,IF(L56="b",-U57,TRUNC(F56*T57)))</f>
        <v>0</v>
      </c>
      <c r="AC57" t="b">
        <f>IF($D57=1,SUM(AB$13:AB55)-SUM(AC$13:AC55),IF($D57=2,$AA$5,IF($D57=3,TRUNC($AA$5,-3))))</f>
        <v>0</v>
      </c>
    </row>
    <row r="58" spans="3:29" ht="15" customHeight="1" x14ac:dyDescent="0.15">
      <c r="C58" s="182"/>
      <c r="D58" s="210"/>
      <c r="E58" s="184"/>
      <c r="F58" s="227"/>
      <c r="G58" s="297" t="str">
        <f ca="1">IF(OR(AC$8=0,L58="b"),"",IF(L58="l",0,"("&amp;FIXED(-F58,K59,0)&amp;M58))</f>
        <v/>
      </c>
      <c r="H58" s="183"/>
      <c r="I58" s="185"/>
      <c r="L58" t="str">
        <f t="shared" ref="L58:L69" ca="1" si="10">CELL("type",F58)</f>
        <v>b</v>
      </c>
      <c r="M58" t="str">
        <f>")"&amp;REPT(" ",2-K59)&amp;IF(K59=0," ","")</f>
        <v xml:space="preserve">)   </v>
      </c>
      <c r="O58" s="194"/>
      <c r="P58" s="207">
        <f>D58</f>
        <v>0</v>
      </c>
      <c r="Q58" s="207">
        <f t="shared" si="6"/>
        <v>0</v>
      </c>
      <c r="R58" s="300" t="str">
        <f t="shared" ref="R58:R69" ca="1" si="11">G58</f>
        <v/>
      </c>
      <c r="S58" s="304"/>
      <c r="T58" s="144"/>
      <c r="U58" s="206">
        <f ca="1">IF(OR(AC$8=0,SUM(Z59:AC59)=0),1,IF(L58="l","",SUM(AB59:AC59)))</f>
        <v>1</v>
      </c>
      <c r="V58" s="385"/>
      <c r="W58" s="50"/>
      <c r="Z58"/>
    </row>
    <row r="59" spans="3:29" ht="15" customHeight="1" x14ac:dyDescent="0.15">
      <c r="C59" s="186"/>
      <c r="D59" s="205"/>
      <c r="E59" s="188"/>
      <c r="F59" s="226"/>
      <c r="G59" s="296" t="str">
        <f ca="1">IF(L59="b","",IF(L59="l",0,FIXED(F59,K59,0)&amp;M59))</f>
        <v/>
      </c>
      <c r="H59" s="187"/>
      <c r="I59" s="189"/>
      <c r="K59" s="215"/>
      <c r="L59" t="str">
        <f t="shared" ca="1" si="10"/>
        <v>b</v>
      </c>
      <c r="M59" t="str">
        <f>REPT(" ",3-K59)&amp;IF(K59=0," ","")</f>
        <v xml:space="preserve">    </v>
      </c>
      <c r="O59" s="194"/>
      <c r="P59" s="208">
        <f>IF(ISNUMBER(D59),LOOKUP(D59,$AB$5:$AC$7),D59)</f>
        <v>0</v>
      </c>
      <c r="Q59" s="208">
        <f t="shared" si="6"/>
        <v>0</v>
      </c>
      <c r="R59" s="301" t="str">
        <f t="shared" ca="1" si="11"/>
        <v/>
      </c>
      <c r="S59" s="305">
        <f>H59</f>
        <v>0</v>
      </c>
      <c r="T59" s="145"/>
      <c r="U59" s="216">
        <f ca="1">IF(L59="l","",IF(D59+F59&gt;0,SUM(Z59:AA59),-1))</f>
        <v>-1</v>
      </c>
      <c r="V59" s="386"/>
      <c r="W59" s="107"/>
      <c r="Z59" s="114">
        <f>IF(D59&gt;0,0,TRUNC(F59*T59+Y59*X59))</f>
        <v>0</v>
      </c>
      <c r="AA59" t="b">
        <f>IF($D59=1,SUM(Z$13:Z57)-SUM(AA$13:AA57),IF($D59=2,$AA$6,IF($D59=3,TRUNC($AA$6,-3))))</f>
        <v>0</v>
      </c>
      <c r="AB59">
        <f ca="1">IF(OR(AC$8=0,L58="l",D59&gt;0,U59=-1),0,IF(L58="b",-U59,TRUNC(F58*T59)))</f>
        <v>0</v>
      </c>
      <c r="AC59" t="b">
        <f>IF($D59=1,SUM(AB$13:AB57)-SUM(AC$13:AC57),IF($D59=2,$AA$5,IF($D59=3,TRUNC($AA$5,-3))))</f>
        <v>0</v>
      </c>
    </row>
    <row r="60" spans="3:29" ht="15" customHeight="1" x14ac:dyDescent="0.15">
      <c r="C60" s="182"/>
      <c r="D60" s="210"/>
      <c r="E60" s="184"/>
      <c r="F60" s="227"/>
      <c r="G60" s="297" t="str">
        <f ca="1">IF(OR(AC$8=0,L60="b"),"",IF(L60="l",0,"("&amp;FIXED(-F60,K61,0)&amp;M60))</f>
        <v/>
      </c>
      <c r="H60" s="183"/>
      <c r="I60" s="185"/>
      <c r="L60" t="str">
        <f t="shared" ca="1" si="10"/>
        <v>b</v>
      </c>
      <c r="M60" t="str">
        <f>")"&amp;REPT(" ",2-K61)&amp;IF(K61=0," ","")</f>
        <v xml:space="preserve">)   </v>
      </c>
      <c r="O60" s="194"/>
      <c r="P60" s="207">
        <f>D60</f>
        <v>0</v>
      </c>
      <c r="Q60" s="207">
        <f t="shared" si="6"/>
        <v>0</v>
      </c>
      <c r="R60" s="300" t="str">
        <f t="shared" ca="1" si="11"/>
        <v/>
      </c>
      <c r="S60" s="304"/>
      <c r="T60" s="144"/>
      <c r="U60" s="206">
        <f ca="1">IF(OR(AC$8=0,SUM(Z61:AC61)=0),1,IF(L60="l","",SUM(AB61:AC61)))</f>
        <v>1</v>
      </c>
      <c r="V60" s="392"/>
      <c r="W60" s="197"/>
      <c r="Z60"/>
    </row>
    <row r="61" spans="3:29" ht="15" customHeight="1" x14ac:dyDescent="0.15">
      <c r="C61" s="186"/>
      <c r="D61" s="205">
        <v>1</v>
      </c>
      <c r="E61" s="188"/>
      <c r="F61" s="226"/>
      <c r="G61" s="296" t="str">
        <f ca="1">IF(L61="b","",IF(L61="l",0,FIXED(F61,K61,0)&amp;M61))</f>
        <v/>
      </c>
      <c r="H61" s="187"/>
      <c r="I61" s="189"/>
      <c r="K61" s="215"/>
      <c r="L61" t="str">
        <f t="shared" ca="1" si="10"/>
        <v>b</v>
      </c>
      <c r="M61" t="str">
        <f>REPT(" ",3-K61)&amp;IF(K61=0," ","")</f>
        <v xml:space="preserve">    </v>
      </c>
      <c r="O61" s="194"/>
      <c r="P61" s="208" t="str">
        <f>IF(ISNUMBER(D61),LOOKUP(D61,$AB$5:$AC$7),D61)</f>
        <v>小    　計</v>
      </c>
      <c r="Q61" s="208">
        <f t="shared" si="6"/>
        <v>0</v>
      </c>
      <c r="R61" s="301" t="str">
        <f t="shared" ca="1" si="11"/>
        <v/>
      </c>
      <c r="S61" s="305">
        <f>H61</f>
        <v>0</v>
      </c>
      <c r="T61" s="145"/>
      <c r="U61" s="216">
        <f ca="1">IF(L61="l","",IF(D61+F61&gt;0,SUM(Z61:AA61),-1))</f>
        <v>452190</v>
      </c>
      <c r="V61" s="386"/>
      <c r="W61" s="142"/>
      <c r="Y61" s="114"/>
      <c r="Z61" s="114">
        <f>IF(D61&gt;0,0,TRUNC(F61*T61+Y61*X61))</f>
        <v>0</v>
      </c>
      <c r="AA61">
        <f>IF($D61=1,SUM(Z$13:Z59)-SUM(AA$13:AA59),IF($D61=2,$AA$6,IF($D61=3,TRUNC($AA$6,-3))))</f>
        <v>452190</v>
      </c>
      <c r="AB61">
        <f ca="1">IF(OR(AC$8=0,L60="l",D61&gt;0,U61=-1),0,IF(L60="b",-U61,TRUNC(F60*T61)))</f>
        <v>0</v>
      </c>
      <c r="AC61">
        <f ca="1">IF($D61=1,SUM(AB$13:AB59)-SUM(AC$13:AC59),IF($D61=2,$AA$5,IF($D61=3,TRUNC($AA$5,-3))))</f>
        <v>0</v>
      </c>
    </row>
    <row r="62" spans="3:29" ht="15" customHeight="1" x14ac:dyDescent="0.15">
      <c r="C62" s="182"/>
      <c r="D62" s="210"/>
      <c r="E62" s="184"/>
      <c r="F62" s="227"/>
      <c r="G62" s="297" t="str">
        <f ca="1">IF(OR(AC$8=0,L62="b"),"",IF(L62="l",0,"("&amp;FIXED(-F62,K63,0)&amp;M62))</f>
        <v/>
      </c>
      <c r="H62" s="183"/>
      <c r="I62" s="185"/>
      <c r="L62" t="str">
        <f t="shared" ca="1" si="10"/>
        <v>b</v>
      </c>
      <c r="M62" t="str">
        <f>")"&amp;REPT(" ",2-K63)&amp;IF(K63=0," ","")</f>
        <v xml:space="preserve">)   </v>
      </c>
      <c r="O62" s="194"/>
      <c r="P62" s="207">
        <f>D62</f>
        <v>0</v>
      </c>
      <c r="Q62" s="207">
        <f t="shared" si="6"/>
        <v>0</v>
      </c>
      <c r="R62" s="300" t="str">
        <f t="shared" ca="1" si="11"/>
        <v/>
      </c>
      <c r="S62" s="304"/>
      <c r="T62" s="144"/>
      <c r="U62" s="206">
        <f ca="1">IF(OR(AC$8=0,SUM(Z63:AC63)=0),1,IF(L62="l","",SUM(AB63:AC63)))</f>
        <v>1</v>
      </c>
      <c r="V62" s="385"/>
      <c r="W62" s="50"/>
      <c r="Z62"/>
    </row>
    <row r="63" spans="3:29" ht="15" customHeight="1" x14ac:dyDescent="0.15">
      <c r="C63" s="186"/>
      <c r="D63" s="205"/>
      <c r="E63" s="188"/>
      <c r="F63" s="226"/>
      <c r="G63" s="296" t="str">
        <f ca="1">IF(L63="b","",IF(L63="l",0,FIXED(F63,K63,0)&amp;M63))</f>
        <v/>
      </c>
      <c r="H63" s="187"/>
      <c r="I63" s="189"/>
      <c r="K63" s="215"/>
      <c r="L63" t="str">
        <f t="shared" ca="1" si="10"/>
        <v>b</v>
      </c>
      <c r="M63" t="str">
        <f>REPT(" ",3-K63)&amp;IF(K63=0," ","")</f>
        <v xml:space="preserve">    </v>
      </c>
      <c r="O63" s="194"/>
      <c r="P63" s="208">
        <f>IF(ISNUMBER(D63),LOOKUP(D63,$AB$5:$AC$7),D63)</f>
        <v>0</v>
      </c>
      <c r="Q63" s="208">
        <f t="shared" si="6"/>
        <v>0</v>
      </c>
      <c r="R63" s="301" t="str">
        <f t="shared" ca="1" si="11"/>
        <v/>
      </c>
      <c r="S63" s="305">
        <f>H63</f>
        <v>0</v>
      </c>
      <c r="T63" s="145"/>
      <c r="U63" s="216">
        <f ca="1">IF(L63="l","",IF(D63+F63&gt;0,SUM(Z63:AA63),-1))</f>
        <v>-1</v>
      </c>
      <c r="V63" s="386"/>
      <c r="W63" s="107"/>
      <c r="Z63" s="114">
        <f>IF(D63&gt;0,0,TRUNC(F63*T63+Y63*X63))</f>
        <v>0</v>
      </c>
      <c r="AA63" t="b">
        <f>IF($D63=1,SUM(Z$13:Z61)-SUM(AA$13:AA61),IF($D63=2,$AA$6,IF($D63=3,TRUNC($AA$6,-3))))</f>
        <v>0</v>
      </c>
      <c r="AB63">
        <f ca="1">IF(OR(AC$8=0,L62="l",D63&gt;0,U63=-1),0,IF(L62="b",-U63,TRUNC(F62*T63)))</f>
        <v>0</v>
      </c>
      <c r="AC63" t="b">
        <f>IF($D63=1,SUM(AB$13:AB61)-SUM(AC$13:AC61),IF($D63=2,$AA$5,IF($D63=3,TRUNC($AA$5,-3))))</f>
        <v>0</v>
      </c>
    </row>
    <row r="64" spans="3:29" ht="15" customHeight="1" x14ac:dyDescent="0.15">
      <c r="C64" s="182"/>
      <c r="D64" s="210"/>
      <c r="E64" s="184"/>
      <c r="F64" s="227"/>
      <c r="G64" s="297" t="str">
        <f ca="1">IF(OR(AC$8=0,L64="b"),"",IF(L64="l",0,"("&amp;FIXED(-F64,K65,0)&amp;M64))</f>
        <v/>
      </c>
      <c r="H64" s="183"/>
      <c r="I64" s="185"/>
      <c r="L64" t="str">
        <f t="shared" ca="1" si="10"/>
        <v>b</v>
      </c>
      <c r="M64" t="str">
        <f>")"&amp;REPT(" ",2-K65)&amp;IF(K65=0," ","")</f>
        <v xml:space="preserve">)   </v>
      </c>
      <c r="O64" s="194"/>
      <c r="P64" s="207">
        <f>D64</f>
        <v>0</v>
      </c>
      <c r="Q64" s="207">
        <f t="shared" si="6"/>
        <v>0</v>
      </c>
      <c r="R64" s="300" t="str">
        <f t="shared" ca="1" si="11"/>
        <v/>
      </c>
      <c r="S64" s="304"/>
      <c r="T64" s="144"/>
      <c r="U64" s="206">
        <f ca="1">IF(OR(AC$8=0,SUM(Z65:AC65)=0),1,IF(L64="l","",SUM(AB65:AC65)))</f>
        <v>1</v>
      </c>
      <c r="V64" s="385"/>
      <c r="W64" s="50"/>
      <c r="Z64"/>
    </row>
    <row r="65" spans="1:29" ht="15" customHeight="1" x14ac:dyDescent="0.15">
      <c r="C65" s="186"/>
      <c r="D65" s="205"/>
      <c r="E65" s="188"/>
      <c r="F65" s="226"/>
      <c r="G65" s="296" t="str">
        <f ca="1">IF(L65="b","",IF(L65="l",0,FIXED(F65,K65,0)&amp;M65))</f>
        <v/>
      </c>
      <c r="H65" s="187"/>
      <c r="I65" s="189"/>
      <c r="K65" s="215"/>
      <c r="L65" t="str">
        <f t="shared" ca="1" si="10"/>
        <v>b</v>
      </c>
      <c r="M65" t="str">
        <f>REPT(" ",3-K65)&amp;IF(K65=0," ","")</f>
        <v xml:space="preserve">    </v>
      </c>
      <c r="O65" s="194"/>
      <c r="P65" s="208">
        <f>IF(ISNUMBER(D65),LOOKUP(D65,$AB$5:$AC$7),D65)</f>
        <v>0</v>
      </c>
      <c r="Q65" s="208">
        <f t="shared" si="6"/>
        <v>0</v>
      </c>
      <c r="R65" s="301" t="str">
        <f t="shared" ca="1" si="11"/>
        <v/>
      </c>
      <c r="S65" s="305">
        <f>H65</f>
        <v>0</v>
      </c>
      <c r="T65" s="145"/>
      <c r="U65" s="216">
        <f ca="1">IF(L65="l","",IF(D65+F65&gt;0,SUM(Z65:AA65),-1))</f>
        <v>-1</v>
      </c>
      <c r="V65" s="386"/>
      <c r="W65" s="107"/>
      <c r="Z65" s="114">
        <f>IF(D65&gt;0,0,TRUNC(F65*T65+Y65*X65))</f>
        <v>0</v>
      </c>
      <c r="AA65" t="b">
        <f>IF($D65=1,SUM(Z$13:Z63)-SUM(AA$13:AA63),IF($D65=2,$AA$6,IF($D65=3,TRUNC($AA$6,-3))))</f>
        <v>0</v>
      </c>
      <c r="AB65">
        <f ca="1">IF(OR(AC$8=0,L64="l",D65&gt;0,U65=-1),0,IF(L64="b",-U65,TRUNC(F64*T65)))</f>
        <v>0</v>
      </c>
      <c r="AC65" t="b">
        <f>IF($D65=1,SUM(AB$13:AB63)-SUM(AC$13:AC63),IF($D65=2,$AA$5,IF($D65=3,TRUNC($AA$5,-3))))</f>
        <v>0</v>
      </c>
    </row>
    <row r="66" spans="1:29" ht="15" customHeight="1" x14ac:dyDescent="0.15">
      <c r="C66" s="182"/>
      <c r="D66" s="210"/>
      <c r="E66" s="184"/>
      <c r="F66" s="227"/>
      <c r="G66" s="297" t="str">
        <f ca="1">IF(OR(AC$8=0,L66="b"),"",IF(L66="l",0,"("&amp;FIXED(-F66,K67,0)&amp;M66))</f>
        <v/>
      </c>
      <c r="H66" s="183"/>
      <c r="I66" s="185"/>
      <c r="L66" t="str">
        <f t="shared" ca="1" si="10"/>
        <v>b</v>
      </c>
      <c r="M66" t="str">
        <f>")"&amp;REPT(" ",2-K67)&amp;IF(K67=0," ","")</f>
        <v xml:space="preserve">)   </v>
      </c>
      <c r="O66" s="194"/>
      <c r="P66" s="207">
        <f>D66</f>
        <v>0</v>
      </c>
      <c r="Q66" s="207">
        <f>E66</f>
        <v>0</v>
      </c>
      <c r="R66" s="300" t="str">
        <f t="shared" ca="1" si="11"/>
        <v/>
      </c>
      <c r="S66" s="304"/>
      <c r="T66" s="144"/>
      <c r="U66" s="206">
        <f ca="1">IF(OR(AC$8=0,SUM(Z67:AC67)=0),1,IF(L66="l","",SUM(AB67:AC67)))</f>
        <v>1</v>
      </c>
      <c r="V66" s="385"/>
      <c r="W66" s="50"/>
      <c r="Z66"/>
    </row>
    <row r="67" spans="1:29" ht="15" customHeight="1" x14ac:dyDescent="0.15">
      <c r="C67" s="186"/>
      <c r="D67" s="205"/>
      <c r="E67" s="188"/>
      <c r="F67" s="226"/>
      <c r="G67" s="296" t="str">
        <f ca="1">IF(L67="b","",IF(L67="l",0,FIXED(F67,K67,0)&amp;M67))</f>
        <v/>
      </c>
      <c r="H67" s="187"/>
      <c r="I67" s="189"/>
      <c r="K67" s="215"/>
      <c r="L67" t="str">
        <f t="shared" ca="1" si="10"/>
        <v>b</v>
      </c>
      <c r="M67" t="str">
        <f>REPT(" ",3-K67)&amp;IF(K67=0," ","")</f>
        <v xml:space="preserve">    </v>
      </c>
      <c r="O67" s="194"/>
      <c r="P67" s="208">
        <f>IF(ISNUMBER(D67),LOOKUP(D67,$AB$5:$AC$7),D67)</f>
        <v>0</v>
      </c>
      <c r="Q67" s="208">
        <f t="shared" ref="Q67:Q73" si="12">E67</f>
        <v>0</v>
      </c>
      <c r="R67" s="301" t="str">
        <f t="shared" ca="1" si="11"/>
        <v/>
      </c>
      <c r="S67" s="305">
        <f>H67</f>
        <v>0</v>
      </c>
      <c r="T67" s="145"/>
      <c r="U67" s="216">
        <f ca="1">IF(L67="l","",IF(D67+F67&gt;0,SUM(Z67:AA67),-1))</f>
        <v>-1</v>
      </c>
      <c r="V67" s="386"/>
      <c r="W67" s="107"/>
      <c r="Y67" s="114"/>
      <c r="Z67" s="114">
        <f>IF(D67&gt;0,0,TRUNC(F67*T67+Y67*X67))</f>
        <v>0</v>
      </c>
      <c r="AA67" t="b">
        <f>IF($D67=1,SUM(Z$13:Z65)-SUM(AA$13:AA65),IF($D67=2,$AA$6,IF($D67=3,TRUNC($AA$6,-3))))</f>
        <v>0</v>
      </c>
      <c r="AB67">
        <f ca="1">IF(OR(AC$8=0,L66="l",D67&gt;0,U67=-1),0,IF(L66="b",-U67,TRUNC(F66*T67)))</f>
        <v>0</v>
      </c>
      <c r="AC67" t="b">
        <f>IF($D67=1,SUM(AB$13:AB65)-SUM(AC$13:AC65),IF($D67=2,$AA$5,IF($D67=3,TRUNC($AA$5,-3))))</f>
        <v>0</v>
      </c>
    </row>
    <row r="68" spans="1:29" ht="15" customHeight="1" x14ac:dyDescent="0.15">
      <c r="C68" s="182"/>
      <c r="D68" s="210"/>
      <c r="E68" s="184"/>
      <c r="F68" s="227"/>
      <c r="G68" s="297" t="str">
        <f ca="1">IF(OR(AC$8=0,L68="b"),"",IF(L68="l",0,"("&amp;FIXED(-F68,K69,0)&amp;M68))</f>
        <v/>
      </c>
      <c r="H68" s="183"/>
      <c r="I68" s="185"/>
      <c r="L68" t="str">
        <f t="shared" ca="1" si="10"/>
        <v>b</v>
      </c>
      <c r="M68" t="str">
        <f>")"&amp;REPT(" ",2-K69)&amp;IF(K69=0," ","")</f>
        <v xml:space="preserve">)   </v>
      </c>
      <c r="O68" s="194"/>
      <c r="P68" s="207">
        <f>D68</f>
        <v>0</v>
      </c>
      <c r="Q68" s="207">
        <f t="shared" si="12"/>
        <v>0</v>
      </c>
      <c r="R68" s="300" t="str">
        <f t="shared" ca="1" si="11"/>
        <v/>
      </c>
      <c r="S68" s="304"/>
      <c r="T68" s="144"/>
      <c r="U68" s="206">
        <f ca="1">IF(OR(AC$8=0,SUM(Z69:AC69)=0),1,IF(L68="l","",SUM(AB69:AC69)))</f>
        <v>1</v>
      </c>
      <c r="V68" s="392"/>
      <c r="W68" s="197"/>
      <c r="Z68"/>
    </row>
    <row r="69" spans="1:29" ht="15" customHeight="1" x14ac:dyDescent="0.15">
      <c r="C69" s="186"/>
      <c r="D69" s="205"/>
      <c r="E69" s="188"/>
      <c r="F69" s="226"/>
      <c r="G69" s="296" t="str">
        <f ca="1">IF(L69="b","",IF(L69="l",0,FIXED(F69,K69,0)&amp;M69))</f>
        <v/>
      </c>
      <c r="H69" s="187"/>
      <c r="I69" s="189"/>
      <c r="K69" s="215"/>
      <c r="L69" t="str">
        <f t="shared" ca="1" si="10"/>
        <v>b</v>
      </c>
      <c r="M69" t="str">
        <f>REPT(" ",3-K69)&amp;IF(K69=0," ","")</f>
        <v xml:space="preserve">    </v>
      </c>
      <c r="O69" s="194"/>
      <c r="P69" s="208">
        <f>IF(ISNUMBER(D69),LOOKUP(D69,$AB$5:$AC$7),D69)</f>
        <v>0</v>
      </c>
      <c r="Q69" s="208">
        <f t="shared" si="12"/>
        <v>0</v>
      </c>
      <c r="R69" s="301" t="str">
        <f t="shared" ca="1" si="11"/>
        <v/>
      </c>
      <c r="S69" s="305">
        <f>H69</f>
        <v>0</v>
      </c>
      <c r="T69" s="145"/>
      <c r="U69" s="216">
        <f ca="1">IF(L69="l","",IF(D69+F69&gt;0,SUM(Z69:AA69),-1))</f>
        <v>-1</v>
      </c>
      <c r="V69" s="386"/>
      <c r="W69" s="142"/>
      <c r="Z69" s="114">
        <f>IF(D69&gt;0,0,TRUNC(F69*T69+Y69*X69))</f>
        <v>0</v>
      </c>
      <c r="AA69" t="b">
        <f>IF($D69=1,SUM(Z$13:Z67)-SUM(AA$13:AA67),IF($D69=2,$AA$6,IF($D69=3,TRUNC($AA$6,-3))))</f>
        <v>0</v>
      </c>
      <c r="AB69">
        <f ca="1">IF(OR(AC$8=0,L68="l",D69&gt;0,U69=-1),0,IF(L68="b",-U69,TRUNC(F68*T69)))</f>
        <v>0</v>
      </c>
      <c r="AC69" t="b">
        <f>IF($D69=1,SUM(AB$13:AB67)-SUM(AC$13:AC67),IF($D69=2,$AA$5,IF($D69=3,TRUNC($AA$5,-3))))</f>
        <v>0</v>
      </c>
    </row>
    <row r="70" spans="1:29" ht="15" customHeight="1" x14ac:dyDescent="0.15">
      <c r="C70" s="182"/>
      <c r="D70" s="210"/>
      <c r="E70" s="184"/>
      <c r="F70" s="227"/>
      <c r="G70" s="297" t="str">
        <f ca="1">IF(OR(AC$8=0,L70="b"),"",IF(L70="l",0,"("&amp;FIXED(-F70,K71,0)&amp;M70))</f>
        <v/>
      </c>
      <c r="H70" s="183"/>
      <c r="I70" s="185"/>
      <c r="L70" t="str">
        <f ca="1">CELL("type",F70)</f>
        <v>b</v>
      </c>
      <c r="M70" t="str">
        <f>")"&amp;REPT(" ",2-K71)&amp;IF(K71=0," ","")</f>
        <v xml:space="preserve">)   </v>
      </c>
      <c r="O70" s="194"/>
      <c r="P70" s="207">
        <f>D70</f>
        <v>0</v>
      </c>
      <c r="Q70" s="207">
        <f t="shared" si="12"/>
        <v>0</v>
      </c>
      <c r="R70" s="300" t="str">
        <f ca="1">G70</f>
        <v/>
      </c>
      <c r="S70" s="304"/>
      <c r="T70" s="149"/>
      <c r="U70" s="206">
        <f ca="1">IF(OR(AC$8=0,SUM(Z71:AC71)=0),1,IF(L70="l","",SUM(AB71:AC71)))</f>
        <v>1</v>
      </c>
      <c r="V70" s="394"/>
      <c r="W70" s="50"/>
      <c r="Z70"/>
    </row>
    <row r="71" spans="1:29" ht="15" customHeight="1" x14ac:dyDescent="0.15">
      <c r="C71" s="186"/>
      <c r="D71" s="205"/>
      <c r="E71" s="188"/>
      <c r="F71" s="226"/>
      <c r="G71" s="296" t="str">
        <f ca="1">IF(L71="b","",IF(L71="l",0,FIXED(F71,K71,0)&amp;M71))</f>
        <v/>
      </c>
      <c r="H71" s="187"/>
      <c r="I71" s="189"/>
      <c r="K71" s="215"/>
      <c r="L71" t="str">
        <f ca="1">CELL("type",F71)</f>
        <v>b</v>
      </c>
      <c r="M71" t="str">
        <f>REPT(" ",3-K71)&amp;IF(K71=0," ","")</f>
        <v xml:space="preserve">    </v>
      </c>
      <c r="O71" s="194"/>
      <c r="P71" s="208">
        <f>IF(ISNUMBER(D71),LOOKUP(D71,$AB$5:$AC$7),D71)</f>
        <v>0</v>
      </c>
      <c r="Q71" s="208">
        <f t="shared" si="12"/>
        <v>0</v>
      </c>
      <c r="R71" s="301" t="str">
        <f ca="1">G71</f>
        <v/>
      </c>
      <c r="S71" s="305">
        <f>H71</f>
        <v>0</v>
      </c>
      <c r="T71" s="150"/>
      <c r="U71" s="216">
        <f ca="1">IF(L71="l","",IF(D71+F71&gt;0,SUM(Z71:AA71),-1))</f>
        <v>-1</v>
      </c>
      <c r="V71" s="395"/>
      <c r="W71" s="107"/>
      <c r="Z71" s="114">
        <f>IF(D71&gt;0,0,TRUNC(F71*T71+Y71*X71))</f>
        <v>0</v>
      </c>
      <c r="AA71" t="b">
        <f>IF($D71=1,SUM(Z$13:Z69)-SUM(AA$13:AA69),IF($D71=2,$AA$6,IF($D71=3,TRUNC($AA$6,-3))))</f>
        <v>0</v>
      </c>
      <c r="AB71">
        <f ca="1">IF(OR(AC$8=0,L70="l",D71&gt;0,U71=-1),0,IF(L70="b",-U71,TRUNC(F70*T71)))</f>
        <v>0</v>
      </c>
      <c r="AC71" t="b">
        <f>IF($D71=1,SUM(AB$13:AB69)-SUM(AC$13:AC69),IF($D71=2,$AA$5,IF($D71=3,TRUNC($AA$5,-3))))</f>
        <v>0</v>
      </c>
    </row>
    <row r="72" spans="1:29" ht="15" customHeight="1" x14ac:dyDescent="0.15">
      <c r="C72" s="182"/>
      <c r="D72" s="210"/>
      <c r="E72" s="184"/>
      <c r="F72" s="227"/>
      <c r="G72" s="297" t="str">
        <f ca="1">IF(OR(AC$8=0,L72="b"),"",IF(L72="l",0,"("&amp;FIXED(-F72,K73,0)&amp;M72))</f>
        <v/>
      </c>
      <c r="H72" s="183"/>
      <c r="I72" s="185"/>
      <c r="L72" t="str">
        <f ca="1">CELL("type",F72)</f>
        <v>b</v>
      </c>
      <c r="M72" t="str">
        <f>")"&amp;REPT(" ",2-K73)&amp;IF(K73=0," ","")</f>
        <v xml:space="preserve">)   </v>
      </c>
      <c r="O72" s="194"/>
      <c r="P72" s="207">
        <f>D72</f>
        <v>0</v>
      </c>
      <c r="Q72" s="207">
        <f t="shared" si="12"/>
        <v>0</v>
      </c>
      <c r="R72" s="300" t="str">
        <f ca="1">G72</f>
        <v/>
      </c>
      <c r="S72" s="304"/>
      <c r="T72" s="149"/>
      <c r="U72" s="206">
        <f ca="1">IF(OR(AC$8=0,SUM(Z73:AC73)=0),1,IF(L72="l","",SUM(AB73:AC73)))</f>
        <v>1</v>
      </c>
      <c r="V72" s="394"/>
      <c r="W72" s="50"/>
      <c r="Z72"/>
    </row>
    <row r="73" spans="1:29" ht="15" customHeight="1" thickBot="1" x14ac:dyDescent="0.2">
      <c r="C73" s="190"/>
      <c r="D73" s="211"/>
      <c r="E73" s="192"/>
      <c r="F73" s="228"/>
      <c r="G73" s="298" t="str">
        <f ca="1">IF(L73="b","",IF(L73="l",0,FIXED(F73,K73,0)&amp;M73))</f>
        <v/>
      </c>
      <c r="H73" s="191"/>
      <c r="I73" s="193"/>
      <c r="K73" s="215"/>
      <c r="L73" t="str">
        <f ca="1">CELL("type",F73)</f>
        <v>b</v>
      </c>
      <c r="M73" t="str">
        <f>REPT(" ",3-K73)&amp;IF(K73=0," ","")</f>
        <v xml:space="preserve">    </v>
      </c>
      <c r="O73" s="254"/>
      <c r="P73" s="209">
        <f>IF(ISNUMBER(D73),LOOKUP(D73,$AB$5:$AC$7),D73)</f>
        <v>0</v>
      </c>
      <c r="Q73" s="209">
        <f t="shared" si="12"/>
        <v>0</v>
      </c>
      <c r="R73" s="302" t="str">
        <f ca="1">G73</f>
        <v/>
      </c>
      <c r="S73" s="306">
        <f>H73</f>
        <v>0</v>
      </c>
      <c r="T73" s="151"/>
      <c r="U73" s="217">
        <f ca="1">IF(L73="l","",IF(D73+F73&gt;0,SUM(Z73:AA73),-1))</f>
        <v>-1</v>
      </c>
      <c r="V73" s="396"/>
      <c r="W73" s="55"/>
      <c r="Z73" s="114">
        <f>IF(D73&gt;0,0,TRUNC(F73*T73+Y73*X73))</f>
        <v>0</v>
      </c>
      <c r="AA73" t="b">
        <f>IF($D73=1,SUM(Z$13:Z71)-SUM(AA$13:AA71),IF($D73=2,$AA$6,IF($D73=3,TRUNC($AA$6,-3))))</f>
        <v>0</v>
      </c>
      <c r="AB73">
        <f ca="1">IF(OR(AC$8=0,L72="l",D73&gt;0,U73=-1),0,IF(L72="b",-U73,TRUNC(F72*T73)))</f>
        <v>0</v>
      </c>
      <c r="AC73" t="b">
        <f>IF($D73=1,SUM(AB$13:AB71)-SUM(AC$13:AC71),IF($D73=2,$AA$5,IF($D73=3,TRUNC($AA$5,-3))))</f>
        <v>0</v>
      </c>
    </row>
    <row r="74" spans="1:29" ht="13.5" customHeight="1" thickBot="1" x14ac:dyDescent="0.2">
      <c r="A74" s="257" t="b">
        <f>SUM(F79:F141)&gt;0</f>
        <v>1</v>
      </c>
      <c r="B74" s="257"/>
      <c r="C74" s="257"/>
      <c r="D74" s="257"/>
      <c r="E74" s="257"/>
      <c r="F74" s="257"/>
      <c r="G74" s="484" t="s">
        <v>610</v>
      </c>
      <c r="H74" s="257"/>
      <c r="I74" s="257" t="str">
        <f>"( "&amp;FIXED(SUM(A$8:A74),0)&amp;" ／ "&amp;FIXED(B$8,0)&amp;" )"</f>
        <v>( 2 ／ 2 )</v>
      </c>
      <c r="J74" s="257"/>
      <c r="K74" s="257"/>
      <c r="L74" s="257"/>
      <c r="M74" s="257"/>
      <c r="N74" s="257"/>
      <c r="O74" s="257"/>
      <c r="P74" s="257"/>
      <c r="Q74" s="257"/>
      <c r="R74" s="257"/>
      <c r="S74" s="257"/>
      <c r="T74" s="257"/>
      <c r="U74" s="258" t="str">
        <f>G74</f>
        <v>電気設備(電灯)</v>
      </c>
      <c r="V74" s="390"/>
      <c r="W74" s="257" t="str">
        <f>"( "&amp;FIXED(SUM(A$8:A74),0)&amp;" ／ "&amp;FIXED(B$8,0)&amp;" )"</f>
        <v>( 2 ／ 2 )</v>
      </c>
      <c r="Z74"/>
    </row>
    <row r="75" spans="1:29" ht="13.5" customHeight="1" x14ac:dyDescent="0.15">
      <c r="C75" s="16"/>
      <c r="D75" s="102"/>
      <c r="E75" s="102"/>
      <c r="F75" s="18"/>
      <c r="G75" s="102"/>
      <c r="H75" s="102"/>
      <c r="I75" s="48"/>
      <c r="O75" s="780" t="s">
        <v>258</v>
      </c>
      <c r="P75" s="47"/>
      <c r="Q75" s="47"/>
      <c r="R75" s="102"/>
      <c r="S75" s="47"/>
      <c r="T75" s="109" t="s">
        <v>88</v>
      </c>
      <c r="U75" s="110"/>
      <c r="V75" s="781" t="s">
        <v>257</v>
      </c>
      <c r="W75" s="48"/>
    </row>
    <row r="76" spans="1:29" ht="13.5" customHeight="1" x14ac:dyDescent="0.15">
      <c r="C76" s="24" t="s">
        <v>222</v>
      </c>
      <c r="D76" s="6" t="s">
        <v>223</v>
      </c>
      <c r="E76" s="7" t="s">
        <v>224</v>
      </c>
      <c r="F76" s="25"/>
      <c r="G76" s="6" t="s">
        <v>105</v>
      </c>
      <c r="H76" s="6" t="s">
        <v>92</v>
      </c>
      <c r="I76" s="69" t="s">
        <v>225</v>
      </c>
      <c r="O76" s="752"/>
      <c r="P76" s="6" t="s">
        <v>89</v>
      </c>
      <c r="Q76" s="6" t="s">
        <v>90</v>
      </c>
      <c r="R76" s="7" t="s">
        <v>91</v>
      </c>
      <c r="S76" s="6" t="s">
        <v>92</v>
      </c>
      <c r="T76" s="6" t="s">
        <v>93</v>
      </c>
      <c r="U76" s="6" t="s">
        <v>94</v>
      </c>
      <c r="V76" s="782"/>
      <c r="W76" s="106" t="s">
        <v>226</v>
      </c>
      <c r="Z76"/>
    </row>
    <row r="77" spans="1:29" ht="13.5" customHeight="1" thickBot="1" x14ac:dyDescent="0.2">
      <c r="C77" s="71"/>
      <c r="D77" s="40"/>
      <c r="E77" s="40"/>
      <c r="F77" s="36"/>
      <c r="G77" s="40"/>
      <c r="H77" s="40"/>
      <c r="I77" s="52"/>
      <c r="M77" t="s">
        <v>227</v>
      </c>
      <c r="O77" s="753"/>
      <c r="P77" s="39"/>
      <c r="Q77" s="39"/>
      <c r="R77" s="40"/>
      <c r="S77" s="39"/>
      <c r="T77" s="56" t="s">
        <v>96</v>
      </c>
      <c r="U77" s="56" t="s">
        <v>96</v>
      </c>
      <c r="V77" s="783"/>
      <c r="W77" s="52"/>
    </row>
    <row r="78" spans="1:29" ht="15" customHeight="1" thickTop="1" x14ac:dyDescent="0.15">
      <c r="C78" s="182"/>
      <c r="D78" s="210"/>
      <c r="E78" s="184"/>
      <c r="F78" s="227"/>
      <c r="G78" s="297" t="str">
        <f ca="1">IF(OR(AC$8=0,L78="b"),"",IF(L78="l",0,"("&amp;FIXED(-F78,K79,0)&amp;M78))</f>
        <v/>
      </c>
      <c r="H78" s="183"/>
      <c r="I78" s="185"/>
      <c r="L78" t="str">
        <f ca="1">CELL("type",F78)</f>
        <v>b</v>
      </c>
      <c r="M78" t="str">
        <f>")"&amp;REPT(" ",2-K79)&amp;IF(K79=0," ","")</f>
        <v xml:space="preserve">)   </v>
      </c>
      <c r="O78" s="182"/>
      <c r="P78" s="207">
        <f>D78</f>
        <v>0</v>
      </c>
      <c r="Q78" s="207">
        <f>E78</f>
        <v>0</v>
      </c>
      <c r="R78" s="300" t="str">
        <f ca="1">G78</f>
        <v/>
      </c>
      <c r="S78" s="304"/>
      <c r="T78" s="149"/>
      <c r="U78" s="206">
        <f ca="1">IF(OR(AC$8=0,SUM(Z79:AC79)=0),1,IF(L78="l","",SUM(AB79:AC79)))</f>
        <v>1</v>
      </c>
      <c r="V78" s="394"/>
      <c r="W78" s="50"/>
      <c r="Z78"/>
    </row>
    <row r="79" spans="1:29" ht="15" customHeight="1" x14ac:dyDescent="0.15">
      <c r="C79" s="186" t="s">
        <v>60</v>
      </c>
      <c r="D79" s="205" t="s">
        <v>382</v>
      </c>
      <c r="E79" s="188" t="s">
        <v>602</v>
      </c>
      <c r="F79" s="226">
        <v>5</v>
      </c>
      <c r="G79" s="296" t="str">
        <f ca="1">IF(L79="b","",IF(L79="l",0,FIXED(F79,K79,0)&amp;M79))</f>
        <v xml:space="preserve">5    </v>
      </c>
      <c r="H79" s="187" t="s">
        <v>232</v>
      </c>
      <c r="I79" s="189"/>
      <c r="K79" s="215"/>
      <c r="L79" t="str">
        <f ca="1">CELL("type",F79)</f>
        <v>v</v>
      </c>
      <c r="M79" t="str">
        <f>REPT(" ",3-K79)&amp;IF(K79=0," ","")</f>
        <v xml:space="preserve">    </v>
      </c>
      <c r="O79" s="182"/>
      <c r="P79" s="208" t="str">
        <f>IF(ISNUMBER(D79),LOOKUP(D79,$AB$5:$AC$7),D79)</f>
        <v>埋込コンセント</v>
      </c>
      <c r="Q79" s="208" t="str">
        <f>E79</f>
        <v>2P15AE付×1WP ﾌﾟﾚｰﾄ共</v>
      </c>
      <c r="R79" s="301" t="str">
        <f ca="1">G79</f>
        <v xml:space="preserve">5    </v>
      </c>
      <c r="S79" s="305" t="str">
        <f>H79</f>
        <v>個</v>
      </c>
      <c r="T79" s="150">
        <v>340</v>
      </c>
      <c r="U79" s="216">
        <f ca="1">IF(L79="l","",IF(D79+F79&gt;0,SUM(Z79:AA79),-1))</f>
        <v>1700</v>
      </c>
      <c r="V79" s="395">
        <v>302</v>
      </c>
      <c r="W79" s="107"/>
      <c r="Z79" s="114">
        <f>IF(D79&gt;0,0,TRUNC(F79*T79+Y79*X79))</f>
        <v>1700</v>
      </c>
      <c r="AA79" t="b">
        <f>IF($D79=1,SUM(Z$13:Z77)-SUM(AA$13:AA77),IF($D79=2,$AA$6,IF($D79=3,TRUNC($AA$6,-3))))</f>
        <v>0</v>
      </c>
      <c r="AB79">
        <f ca="1">IF(OR(AC$8=0,L78="l",D79&gt;0,U79=-1),0,IF(L78="b",-U79,TRUNC(F78*T79)))</f>
        <v>0</v>
      </c>
      <c r="AC79" t="b">
        <f>IF($D79=1,SUM(AB$13:AB77)-SUM(AC$13:AC77),IF($D79=2,$AA$5,IF($D79=3,TRUNC($AA$5,-3))))</f>
        <v>0</v>
      </c>
    </row>
    <row r="80" spans="1:29" ht="15" customHeight="1" x14ac:dyDescent="0.15">
      <c r="C80" s="182"/>
      <c r="D80" s="210"/>
      <c r="E80" s="184"/>
      <c r="F80" s="227"/>
      <c r="G80" s="297" t="str">
        <f ca="1">IF(OR(AC$8=0,L80="b"),"",IF(L80="l",0,"("&amp;FIXED(-F80,K81,0)&amp;M80))</f>
        <v/>
      </c>
      <c r="H80" s="183"/>
      <c r="I80" s="185"/>
      <c r="L80" t="str">
        <f t="shared" ref="L80:L95" ca="1" si="13">CELL("type",F80)</f>
        <v>b</v>
      </c>
      <c r="M80" t="str">
        <f>")"&amp;REPT(" ",2-K81)&amp;IF(K81=0," ","")</f>
        <v xml:space="preserve">)   </v>
      </c>
      <c r="O80" s="194"/>
      <c r="P80" s="207">
        <f>D80</f>
        <v>0</v>
      </c>
      <c r="Q80" s="207">
        <f t="shared" ref="Q80:Q93" si="14">E80</f>
        <v>0</v>
      </c>
      <c r="R80" s="300" t="str">
        <f t="shared" ref="R80:R95" ca="1" si="15">G80</f>
        <v/>
      </c>
      <c r="S80" s="304"/>
      <c r="T80" s="149"/>
      <c r="U80" s="206">
        <f ca="1">IF(OR(AC$8=0,SUM(Z81:AC81)=0),1,IF(L80="l","",SUM(AB81:AC81)))</f>
        <v>1</v>
      </c>
      <c r="V80" s="394"/>
      <c r="W80" s="50"/>
      <c r="Z80"/>
    </row>
    <row r="81" spans="3:29" ht="15" customHeight="1" x14ac:dyDescent="0.15">
      <c r="C81" s="186"/>
      <c r="D81" s="205" t="s">
        <v>242</v>
      </c>
      <c r="E81" s="188" t="s">
        <v>601</v>
      </c>
      <c r="F81" s="226">
        <v>6</v>
      </c>
      <c r="G81" s="296" t="str">
        <f ca="1">IF(L81="b","",IF(L81="l",0,FIXED(F81,K81,0)&amp;M81))</f>
        <v xml:space="preserve">6    </v>
      </c>
      <c r="H81" s="187" t="s">
        <v>232</v>
      </c>
      <c r="I81" s="189"/>
      <c r="K81" s="215"/>
      <c r="L81" t="str">
        <f t="shared" ca="1" si="13"/>
        <v>v</v>
      </c>
      <c r="M81" t="str">
        <f>REPT(" ",3-K81)&amp;IF(K81=0," ","")</f>
        <v xml:space="preserve">    </v>
      </c>
      <c r="O81" s="194" t="s">
        <v>329</v>
      </c>
      <c r="P81" s="208" t="str">
        <f>IF(ISNUMBER(D81),LOOKUP(D81,$AB$5:$AC$7),D81)</f>
        <v>〃</v>
      </c>
      <c r="Q81" s="208" t="str">
        <f t="shared" si="14"/>
        <v>2P15A×2 ﾌﾟﾚｰﾄ共</v>
      </c>
      <c r="R81" s="301" t="str">
        <f t="shared" ca="1" si="15"/>
        <v xml:space="preserve">6    </v>
      </c>
      <c r="S81" s="305" t="str">
        <f>H81</f>
        <v>個</v>
      </c>
      <c r="T81" s="150">
        <v>320</v>
      </c>
      <c r="U81" s="216">
        <f ca="1">IF(L81="l","",IF(D81+F81&gt;0,SUM(Z81:AA81),-1))</f>
        <v>1920</v>
      </c>
      <c r="V81" s="395">
        <v>301</v>
      </c>
      <c r="W81" s="107"/>
      <c r="Z81" s="114">
        <f>IF(D81&gt;0,0,TRUNC(F81*T81+Y81*X81))</f>
        <v>1920</v>
      </c>
      <c r="AA81" t="b">
        <f>IF($D81=1,SUM(Z$13:Z79)-SUM(AA$13:AA79),IF($D81=2,$AA$6,IF($D81=3,TRUNC($AA$6,-3))))</f>
        <v>0</v>
      </c>
      <c r="AB81">
        <f ca="1">IF(OR(AC$8=0,L80="l",D81&gt;0,U81=-1),0,IF(L80="b",-U81,TRUNC(F80*T81)))</f>
        <v>0</v>
      </c>
      <c r="AC81" t="b">
        <f>IF($D81=1,SUM(AB$13:AB79)-SUM(AC$13:AC79),IF($D81=2,$AA$5,IF($D81=3,TRUNC($AA$5,-3))))</f>
        <v>0</v>
      </c>
    </row>
    <row r="82" spans="3:29" ht="15" customHeight="1" x14ac:dyDescent="0.15">
      <c r="C82" s="182"/>
      <c r="D82" s="210"/>
      <c r="E82" s="184"/>
      <c r="F82" s="227"/>
      <c r="G82" s="297" t="str">
        <f ca="1">IF(OR(AC$8=0,L82="b"),"",IF(L82="l",0,"("&amp;FIXED(-F82,K83,0)&amp;M82))</f>
        <v/>
      </c>
      <c r="H82" s="183"/>
      <c r="I82" s="185"/>
      <c r="L82" t="str">
        <f t="shared" ca="1" si="13"/>
        <v>b</v>
      </c>
      <c r="M82" t="str">
        <f>")"&amp;REPT(" ",2-K83)&amp;IF(K83=0," ","")</f>
        <v xml:space="preserve">)   </v>
      </c>
      <c r="O82" s="194"/>
      <c r="P82" s="207">
        <f>D82</f>
        <v>0</v>
      </c>
      <c r="Q82" s="207">
        <f t="shared" si="14"/>
        <v>0</v>
      </c>
      <c r="R82" s="300" t="str">
        <f t="shared" ca="1" si="15"/>
        <v/>
      </c>
      <c r="S82" s="304"/>
      <c r="T82" s="149"/>
      <c r="U82" s="206">
        <f ca="1">IF(OR(AC$8=0,SUM(Z83:AC83)=0),1,IF(L82="l","",SUM(AB83:AC83)))</f>
        <v>1</v>
      </c>
      <c r="V82" s="394"/>
      <c r="W82" s="465"/>
      <c r="Z82"/>
    </row>
    <row r="83" spans="3:29" ht="15" customHeight="1" x14ac:dyDescent="0.15">
      <c r="C83" s="186"/>
      <c r="D83" s="205" t="s">
        <v>603</v>
      </c>
      <c r="E83" s="188" t="s">
        <v>701</v>
      </c>
      <c r="F83" s="226">
        <v>2</v>
      </c>
      <c r="G83" s="296" t="str">
        <f ca="1">IF(L83="b","",IF(L83="l",0,FIXED(F83,K83,0)&amp;M83))</f>
        <v xml:space="preserve">2    </v>
      </c>
      <c r="H83" s="187" t="s">
        <v>232</v>
      </c>
      <c r="I83" s="189"/>
      <c r="K83" s="215"/>
      <c r="L83" t="str">
        <f t="shared" ca="1" si="13"/>
        <v>v</v>
      </c>
      <c r="M83" t="str">
        <f>REPT(" ",3-K83)&amp;IF(K83=0," ","")</f>
        <v xml:space="preserve">    </v>
      </c>
      <c r="O83" s="194"/>
      <c r="P83" s="208" t="str">
        <f>IF(ISNUMBER(D83),LOOKUP(D83,$AB$5:$AC$7),D83)</f>
        <v>埋込スイッチ</v>
      </c>
      <c r="Q83" s="208" t="str">
        <f t="shared" si="14"/>
        <v>1P15A×1WP ﾌﾟﾚｰﾄ共</v>
      </c>
      <c r="R83" s="301" t="str">
        <f t="shared" ca="1" si="15"/>
        <v xml:space="preserve">2    </v>
      </c>
      <c r="S83" s="305" t="str">
        <f>H83</f>
        <v>個</v>
      </c>
      <c r="T83" s="150">
        <v>420</v>
      </c>
      <c r="U83" s="216">
        <f ca="1">IF(L83="l","",IF(D83+F83&gt;0,SUM(Z83:AA83),-1))</f>
        <v>840</v>
      </c>
      <c r="V83" s="395">
        <v>292</v>
      </c>
      <c r="W83" s="466"/>
      <c r="Z83" s="114">
        <f>IF(D83&gt;0,0,TRUNC(F83*T83+Y83*X83))</f>
        <v>840</v>
      </c>
      <c r="AA83" t="b">
        <f>IF($D83=1,SUM(Z$13:Z81)-SUM(AA$13:AA81),IF($D83=2,$AA$6,IF($D83=3,TRUNC($AA$6,-3))))</f>
        <v>0</v>
      </c>
      <c r="AB83">
        <f ca="1">IF(OR(AC$8=0,L82="l",D83&gt;0,U83=-1),0,IF(L82="b",-U83,TRUNC(F82*T83)))</f>
        <v>0</v>
      </c>
      <c r="AC83" t="b">
        <f>IF($D83=1,SUM(AB$13:AB81)-SUM(AC$13:AC81),IF($D83=2,$AA$5,IF($D83=3,TRUNC($AA$5,-3))))</f>
        <v>0</v>
      </c>
    </row>
    <row r="84" spans="3:29" ht="15" customHeight="1" x14ac:dyDescent="0.15">
      <c r="C84" s="182"/>
      <c r="D84" s="210"/>
      <c r="E84" s="184"/>
      <c r="F84" s="227"/>
      <c r="G84" s="297" t="str">
        <f ca="1">IF(OR(AC$8=0,L84="b"),"",IF(L84="l",0,"("&amp;FIXED(-F84,K85,0)&amp;M84))</f>
        <v/>
      </c>
      <c r="H84" s="183"/>
      <c r="I84" s="185"/>
      <c r="L84" t="str">
        <f t="shared" ca="1" si="13"/>
        <v>b</v>
      </c>
      <c r="M84" t="str">
        <f>")"&amp;REPT(" ",2-K85)&amp;IF(K85=0," ","")</f>
        <v xml:space="preserve">)   </v>
      </c>
      <c r="O84" s="194" t="s">
        <v>328</v>
      </c>
      <c r="P84" s="207">
        <f>D84</f>
        <v>0</v>
      </c>
      <c r="Q84" s="207">
        <f t="shared" si="14"/>
        <v>0</v>
      </c>
      <c r="R84" s="300" t="str">
        <f t="shared" ca="1" si="15"/>
        <v/>
      </c>
      <c r="S84" s="304"/>
      <c r="T84" s="149"/>
      <c r="U84" s="206">
        <f ca="1">IF(OR(AC$8=0,SUM(Z85:AC85)=0),1,IF(L84="l","",SUM(AB85:AC85)))</f>
        <v>1</v>
      </c>
      <c r="V84" s="394"/>
      <c r="W84" s="50"/>
      <c r="Z84"/>
    </row>
    <row r="85" spans="3:29" ht="15" customHeight="1" x14ac:dyDescent="0.15">
      <c r="C85" s="186"/>
      <c r="D85" s="205" t="s">
        <v>236</v>
      </c>
      <c r="E85" s="188" t="s">
        <v>604</v>
      </c>
      <c r="F85" s="226">
        <v>11</v>
      </c>
      <c r="G85" s="296" t="str">
        <f ca="1">IF(L85="b","",IF(L85="l",0,FIXED(F85,K85,0)&amp;M85))</f>
        <v xml:space="preserve">11    </v>
      </c>
      <c r="H85" s="187" t="s">
        <v>232</v>
      </c>
      <c r="I85" s="189"/>
      <c r="K85" s="215"/>
      <c r="L85" t="str">
        <f t="shared" ca="1" si="13"/>
        <v>v</v>
      </c>
      <c r="M85" t="str">
        <f>REPT(" ",3-K85)&amp;IF(K85=0," ","")</f>
        <v xml:space="preserve">    </v>
      </c>
      <c r="O85" s="194"/>
      <c r="P85" s="208" t="str">
        <f>IF(ISNUMBER(D85),LOOKUP(D85,$AB$5:$AC$7),D85)</f>
        <v>〃</v>
      </c>
      <c r="Q85" s="208" t="str">
        <f t="shared" si="14"/>
        <v>3W15A×1 ﾌﾟﾚｰﾄ共</v>
      </c>
      <c r="R85" s="301" t="str">
        <f t="shared" ca="1" si="15"/>
        <v xml:space="preserve">11    </v>
      </c>
      <c r="S85" s="305" t="str">
        <f>H85</f>
        <v>個</v>
      </c>
      <c r="T85" s="150">
        <v>480</v>
      </c>
      <c r="U85" s="216">
        <f ca="1">IF(L85="l","",IF(D85+F85&gt;0,SUM(Z85:AA85),-1))</f>
        <v>5280</v>
      </c>
      <c r="V85" s="395">
        <v>293</v>
      </c>
      <c r="W85" s="473"/>
      <c r="Z85" s="114">
        <f>IF(D85&gt;0,0,TRUNC(F85*T85+Y85*X85))</f>
        <v>5280</v>
      </c>
      <c r="AA85" t="b">
        <f>IF($D85=1,SUM(Z$13:Z83)-SUM(AA$13:AA83),IF($D85=2,$AA$6,IF($D85=3,TRUNC($AA$6,-3))))</f>
        <v>0</v>
      </c>
      <c r="AB85">
        <f ca="1">IF(OR(AC$8=0,L84="l",D85&gt;0,U85=-1),0,IF(L84="b",-U85,TRUNC(F84*T85)))</f>
        <v>0</v>
      </c>
      <c r="AC85" t="b">
        <f>IF($D85=1,SUM(AB$13:AB83)-SUM(AC$13:AC83),IF($D85=2,$AA$5,IF($D85=3,TRUNC($AA$5,-3))))</f>
        <v>0</v>
      </c>
    </row>
    <row r="86" spans="3:29" ht="15" customHeight="1" x14ac:dyDescent="0.15">
      <c r="C86" s="182"/>
      <c r="D86" s="210"/>
      <c r="E86" s="184"/>
      <c r="F86" s="227"/>
      <c r="G86" s="297" t="str">
        <f ca="1">IF(OR(AC$8=0,L86="b"),"",IF(L86="l",0,"("&amp;FIXED(-F86,K87,0)&amp;M86))</f>
        <v/>
      </c>
      <c r="H86" s="183"/>
      <c r="I86" s="185"/>
      <c r="L86" t="str">
        <f t="shared" ca="1" si="13"/>
        <v>b</v>
      </c>
      <c r="M86" t="str">
        <f>")"&amp;REPT(" ",2-K87)&amp;IF(K87=0," ","")</f>
        <v xml:space="preserve">)   </v>
      </c>
      <c r="O86" s="194"/>
      <c r="P86" s="207">
        <f>D86</f>
        <v>0</v>
      </c>
      <c r="Q86" s="207">
        <f t="shared" si="14"/>
        <v>0</v>
      </c>
      <c r="R86" s="300" t="str">
        <f t="shared" ca="1" si="15"/>
        <v/>
      </c>
      <c r="S86" s="304"/>
      <c r="T86" s="149"/>
      <c r="U86" s="206">
        <f ca="1">IF(OR(AC$8=0,SUM(Z87:AC87)=0),1,IF(L86="l","",SUM(AB87:AC87)))</f>
        <v>1</v>
      </c>
      <c r="V86" s="394"/>
      <c r="W86" s="50"/>
      <c r="Z86"/>
    </row>
    <row r="87" spans="3:29" ht="15" customHeight="1" x14ac:dyDescent="0.15">
      <c r="C87" s="186"/>
      <c r="D87" s="205" t="s">
        <v>236</v>
      </c>
      <c r="E87" s="188" t="s">
        <v>700</v>
      </c>
      <c r="F87" s="226">
        <v>3</v>
      </c>
      <c r="G87" s="296" t="str">
        <f ca="1">IF(L87="b","",IF(L87="l",0,FIXED(F87,K87,0)&amp;M87))</f>
        <v xml:space="preserve">3    </v>
      </c>
      <c r="H87" s="187" t="s">
        <v>232</v>
      </c>
      <c r="I87" s="189"/>
      <c r="K87" s="215"/>
      <c r="L87" t="str">
        <f t="shared" ca="1" si="13"/>
        <v>v</v>
      </c>
      <c r="M87" t="str">
        <f>REPT(" ",3-K87)&amp;IF(K87=0," ","")</f>
        <v xml:space="preserve">    </v>
      </c>
      <c r="O87" s="194" t="s">
        <v>82</v>
      </c>
      <c r="P87" s="208" t="str">
        <f>IF(ISNUMBER(D87),LOOKUP(D87,$AB$5:$AC$7),D87)</f>
        <v>〃</v>
      </c>
      <c r="Q87" s="208" t="str">
        <f t="shared" si="14"/>
        <v>4W15A×1 ﾌﾟﾚｰﾄ共</v>
      </c>
      <c r="R87" s="301" t="str">
        <f t="shared" ca="1" si="15"/>
        <v xml:space="preserve">3    </v>
      </c>
      <c r="S87" s="305" t="str">
        <f>H87</f>
        <v>個</v>
      </c>
      <c r="T87" s="150">
        <v>950</v>
      </c>
      <c r="U87" s="216">
        <f ca="1">IF(L87="l","",IF(D87+F87&gt;0,SUM(Z87:AA87),-1))</f>
        <v>2850</v>
      </c>
      <c r="V87" s="395">
        <v>294</v>
      </c>
      <c r="W87" s="473"/>
      <c r="Z87" s="114">
        <f>IF(D87&gt;0,0,TRUNC(F87*T87+Y87*X87))</f>
        <v>2850</v>
      </c>
      <c r="AA87" t="b">
        <f>IF($D87=1,SUM(Z$13:Z85)-SUM(AA$13:AA85),IF($D87=2,$AA$6,IF($D87=3,TRUNC($AA$6,-3))))</f>
        <v>0</v>
      </c>
      <c r="AB87">
        <f ca="1">IF(OR(AC$8=0,L86="l",D87&gt;0,U87=-1),0,IF(L86="b",-U87,TRUNC(F86*T87)))</f>
        <v>0</v>
      </c>
      <c r="AC87" t="b">
        <f>IF($D87=1,SUM(AB$13:AB85)-SUM(AC$13:AC85),IF($D87=2,$AA$5,IF($D87=3,TRUNC($AA$5,-3))))</f>
        <v>0</v>
      </c>
    </row>
    <row r="88" spans="3:29" ht="15" customHeight="1" x14ac:dyDescent="0.15">
      <c r="C88" s="182"/>
      <c r="D88" s="210"/>
      <c r="E88" s="184"/>
      <c r="F88" s="227"/>
      <c r="G88" s="297" t="str">
        <f ca="1">IF(OR(AC$8=0,L88="b"),"",IF(L88="l",0,"("&amp;FIXED(-F88,K89,0)&amp;M88))</f>
        <v/>
      </c>
      <c r="H88" s="183"/>
      <c r="I88" s="185"/>
      <c r="L88" t="str">
        <f t="shared" ca="1" si="13"/>
        <v>b</v>
      </c>
      <c r="M88" t="str">
        <f>")"&amp;REPT(" ",2-K89)&amp;IF(K89=0," ","")</f>
        <v xml:space="preserve">)   </v>
      </c>
      <c r="O88" s="194"/>
      <c r="P88" s="207">
        <f>D88</f>
        <v>0</v>
      </c>
      <c r="Q88" s="207">
        <f t="shared" si="14"/>
        <v>0</v>
      </c>
      <c r="R88" s="300" t="str">
        <f t="shared" ca="1" si="15"/>
        <v/>
      </c>
      <c r="S88" s="304"/>
      <c r="T88" s="149"/>
      <c r="U88" s="206">
        <f ca="1">IF(OR(AC$8=0,SUM(Z89:AC89)=0),1,IF(L88="l","",SUM(AB89:AC89)))</f>
        <v>1</v>
      </c>
      <c r="V88" s="394"/>
      <c r="W88" s="474"/>
      <c r="Z88"/>
    </row>
    <row r="89" spans="3:29" ht="15" customHeight="1" x14ac:dyDescent="0.15">
      <c r="C89" s="186"/>
      <c r="D89" s="205" t="s">
        <v>236</v>
      </c>
      <c r="E89" s="188" t="s">
        <v>707</v>
      </c>
      <c r="F89" s="226">
        <v>2</v>
      </c>
      <c r="G89" s="296" t="str">
        <f ca="1">IF(L89="b","",IF(L89="l",0,FIXED(F89,K89,0)&amp;M89))</f>
        <v xml:space="preserve">2    </v>
      </c>
      <c r="H89" s="187" t="s">
        <v>232</v>
      </c>
      <c r="I89" s="189"/>
      <c r="K89" s="215"/>
      <c r="L89" t="str">
        <f t="shared" ca="1" si="13"/>
        <v>v</v>
      </c>
      <c r="M89" t="str">
        <f>REPT(" ",3-K89)&amp;IF(K89=0," ","")</f>
        <v xml:space="preserve">    </v>
      </c>
      <c r="O89" s="194"/>
      <c r="P89" s="208" t="str">
        <f>IF(ISNUMBER(D89),LOOKUP(D89,$AB$5:$AC$7),D89)</f>
        <v>〃</v>
      </c>
      <c r="Q89" s="208" t="str">
        <f t="shared" si="14"/>
        <v>1P15A+1P15A(PL) ﾌﾟﾚｰﾄ共</v>
      </c>
      <c r="R89" s="301" t="str">
        <f t="shared" ca="1" si="15"/>
        <v xml:space="preserve">2    </v>
      </c>
      <c r="S89" s="305" t="str">
        <f>H89</f>
        <v>個</v>
      </c>
      <c r="T89" s="150">
        <v>1110</v>
      </c>
      <c r="U89" s="216">
        <f ca="1">IF(L89="l","",IF(D89+F89&gt;0,SUM(Z89:AA89),-1))</f>
        <v>2220</v>
      </c>
      <c r="V89" s="395">
        <v>297</v>
      </c>
      <c r="W89" s="473"/>
      <c r="Z89" s="114">
        <f>IF(D89&gt;0,0,TRUNC(F89*T89+Y89*X89))</f>
        <v>2220</v>
      </c>
      <c r="AA89" t="b">
        <f>IF($D89=1,SUM(Z$13:Z87)-SUM(AA$13:AA87),IF($D89=2,$AA$6,IF($D89=3,TRUNC($AA$6,-3))))</f>
        <v>0</v>
      </c>
      <c r="AB89">
        <f ca="1">IF(OR(AC$8=0,L88="l",D89&gt;0,U89=-1),0,IF(L88="b",-U89,TRUNC(F88*T89)))</f>
        <v>0</v>
      </c>
      <c r="AC89" t="b">
        <f>IF($D89=1,SUM(AB$13:AB87)-SUM(AC$13:AC87),IF($D89=2,$AA$5,IF($D89=3,TRUNC($AA$5,-3))))</f>
        <v>0</v>
      </c>
    </row>
    <row r="90" spans="3:29" ht="15" customHeight="1" x14ac:dyDescent="0.15">
      <c r="C90" s="182"/>
      <c r="D90" s="210"/>
      <c r="E90" s="184"/>
      <c r="F90" s="227"/>
      <c r="G90" s="297" t="str">
        <f ca="1">IF(OR(AC$8=0,L90="b"),"",IF(L90="l",0,"("&amp;FIXED(-F90,K91,0)&amp;M90))</f>
        <v/>
      </c>
      <c r="H90" s="183"/>
      <c r="I90" s="185"/>
      <c r="L90" t="str">
        <f t="shared" ca="1" si="13"/>
        <v>b</v>
      </c>
      <c r="M90" t="str">
        <f>")"&amp;REPT(" ",2-K91)&amp;IF(K91=0," ","")</f>
        <v xml:space="preserve">)   </v>
      </c>
      <c r="O90" s="194"/>
      <c r="P90" s="207">
        <f>D90</f>
        <v>0</v>
      </c>
      <c r="Q90" s="207">
        <f t="shared" si="14"/>
        <v>0</v>
      </c>
      <c r="R90" s="300" t="str">
        <f t="shared" ca="1" si="15"/>
        <v/>
      </c>
      <c r="S90" s="304"/>
      <c r="T90" s="149"/>
      <c r="U90" s="206">
        <f ca="1">IF(OR(AC$8=0,SUM(Z91:AC91)=0),1,IF(L90="l","",SUM(AB91:AC91)))</f>
        <v>1</v>
      </c>
      <c r="V90" s="394"/>
      <c r="W90" s="50"/>
      <c r="Z90"/>
    </row>
    <row r="91" spans="3:29" ht="15" customHeight="1" x14ac:dyDescent="0.15">
      <c r="C91" s="186"/>
      <c r="D91" s="205" t="s">
        <v>236</v>
      </c>
      <c r="E91" s="188" t="s">
        <v>605</v>
      </c>
      <c r="F91" s="226">
        <v>1</v>
      </c>
      <c r="G91" s="296" t="str">
        <f ca="1">IF(L91="b","",IF(L91="l",0,FIXED(F91,K91,0)&amp;M91))</f>
        <v xml:space="preserve">1    </v>
      </c>
      <c r="H91" s="187" t="s">
        <v>232</v>
      </c>
      <c r="I91" s="189"/>
      <c r="K91" s="215"/>
      <c r="L91" t="str">
        <f t="shared" ca="1" si="13"/>
        <v>v</v>
      </c>
      <c r="M91" t="str">
        <f>REPT(" ",3-K91)&amp;IF(K91=0," ","")</f>
        <v xml:space="preserve">    </v>
      </c>
      <c r="O91" s="194"/>
      <c r="P91" s="208" t="str">
        <f>IF(ISNUMBER(D91),LOOKUP(D91,$AB$5:$AC$7),D91)</f>
        <v>〃</v>
      </c>
      <c r="Q91" s="208" t="str">
        <f t="shared" si="14"/>
        <v>3W15A+1P15A(PL) ﾌﾟﾚｰﾄ共</v>
      </c>
      <c r="R91" s="301" t="str">
        <f t="shared" ca="1" si="15"/>
        <v xml:space="preserve">1    </v>
      </c>
      <c r="S91" s="305" t="str">
        <f>H91</f>
        <v>個</v>
      </c>
      <c r="T91" s="150">
        <v>1170</v>
      </c>
      <c r="U91" s="216">
        <f ca="1">IF(L91="l","",IF(D91+F91&gt;0,SUM(Z91:AA91),-1))</f>
        <v>1170</v>
      </c>
      <c r="V91" s="395">
        <v>298</v>
      </c>
      <c r="W91" s="473"/>
      <c r="Z91" s="114">
        <f>IF(D91&gt;0,0,TRUNC(F91*T91+Y91*X91))</f>
        <v>1170</v>
      </c>
      <c r="AA91" t="b">
        <f>IF($D91=1,SUM(Z$13:Z89)-SUM(AA$13:AA89),IF($D91=2,$AA$6,IF($D91=3,TRUNC($AA$6,-3))))</f>
        <v>0</v>
      </c>
      <c r="AB91">
        <f ca="1">IF(OR(AC$8=0,L90="l",D91&gt;0,U91=-1),0,IF(L90="b",-U91,TRUNC(F90*T91)))</f>
        <v>0</v>
      </c>
      <c r="AC91" t="b">
        <f>IF($D91=1,SUM(AB$13:AB89)-SUM(AC$13:AC89),IF($D91=2,$AA$5,IF($D91=3,TRUNC($AA$5,-3))))</f>
        <v>0</v>
      </c>
    </row>
    <row r="92" spans="3:29" ht="15" customHeight="1" x14ac:dyDescent="0.15">
      <c r="C92" s="182"/>
      <c r="D92" s="210"/>
      <c r="E92" s="184" t="s">
        <v>608</v>
      </c>
      <c r="F92" s="227"/>
      <c r="G92" s="297" t="str">
        <f ca="1">IF(OR(AC$8=0,L92="b"),"",IF(L92="l",0,"("&amp;FIXED(-F92,K93,0)&amp;M92))</f>
        <v/>
      </c>
      <c r="H92" s="183"/>
      <c r="I92" s="185"/>
      <c r="L92" t="str">
        <f t="shared" ca="1" si="13"/>
        <v>b</v>
      </c>
      <c r="M92" t="str">
        <f>")"&amp;REPT(" ",2-K93)&amp;IF(K93=0," ","")</f>
        <v xml:space="preserve">)   </v>
      </c>
      <c r="O92" s="194"/>
      <c r="P92" s="207">
        <f>D92</f>
        <v>0</v>
      </c>
      <c r="Q92" s="207" t="str">
        <f t="shared" si="14"/>
        <v>露出 塩ビ製</v>
      </c>
      <c r="R92" s="300" t="str">
        <f t="shared" ca="1" si="15"/>
        <v/>
      </c>
      <c r="S92" s="304"/>
      <c r="T92" s="149"/>
      <c r="U92" s="206">
        <f ca="1">IF(OR(AC$8=0,SUM(Z93:AC93)=0),1,IF(L92="l","",SUM(AB93:AC93)))</f>
        <v>1</v>
      </c>
      <c r="V92" s="394"/>
      <c r="W92" s="50"/>
      <c r="Z92"/>
    </row>
    <row r="93" spans="3:29" ht="15" customHeight="1" x14ac:dyDescent="0.15">
      <c r="C93" s="186"/>
      <c r="D93" s="205" t="s">
        <v>456</v>
      </c>
      <c r="E93" s="188" t="s">
        <v>609</v>
      </c>
      <c r="F93" s="226">
        <v>13</v>
      </c>
      <c r="G93" s="296" t="str">
        <f ca="1">IF(L93="b","",IF(L93="l",0,FIXED(F93,K93,0)&amp;M93))</f>
        <v xml:space="preserve">13    </v>
      </c>
      <c r="H93" s="187" t="s">
        <v>232</v>
      </c>
      <c r="I93" s="189"/>
      <c r="K93" s="215"/>
      <c r="L93" t="str">
        <f t="shared" ca="1" si="13"/>
        <v>v</v>
      </c>
      <c r="M93" t="str">
        <f>REPT(" ",3-K93)&amp;IF(K93=0," ","")</f>
        <v xml:space="preserve">    </v>
      </c>
      <c r="O93" s="194"/>
      <c r="P93" s="208" t="str">
        <f>IF(ISNUMBER(D93),LOOKUP(D93,$AB$5:$AC$7),D93)</f>
        <v>スイッチボックス</v>
      </c>
      <c r="Q93" s="208" t="str">
        <f t="shared" si="14"/>
        <v>一方向1個用(16)</v>
      </c>
      <c r="R93" s="301" t="str">
        <f t="shared" ca="1" si="15"/>
        <v xml:space="preserve">13    </v>
      </c>
      <c r="S93" s="305" t="str">
        <f>H93</f>
        <v>個</v>
      </c>
      <c r="T93" s="150">
        <v>193</v>
      </c>
      <c r="U93" s="216">
        <f ca="1">IF(L93="l","",IF(D93+F93&gt;0,SUM(Z93:AA93),-1))</f>
        <v>2509</v>
      </c>
      <c r="V93" s="395">
        <v>161</v>
      </c>
      <c r="W93" s="107"/>
      <c r="Z93" s="114">
        <f>IF(D93&gt;0,0,TRUNC(F93*T93+Y93*X93))</f>
        <v>2509</v>
      </c>
      <c r="AA93" t="b">
        <f>IF($D93=1,SUM(Z$13:Z91)-SUM(AA$13:AA91),IF($D93=2,$AA$6,IF($D93=3,TRUNC($AA$6,-3))))</f>
        <v>0</v>
      </c>
      <c r="AB93">
        <f ca="1">IF(OR(AC$8=0,L92="l",D93&gt;0,U93=-1),0,IF(L92="b",-U93,TRUNC(F92*T93)))</f>
        <v>0</v>
      </c>
      <c r="AC93" t="b">
        <f>IF($D93=1,SUM(AB$13:AB91)-SUM(AC$13:AC91),IF($D93=2,$AA$5,IF($D93=3,TRUNC($AA$5,-3))))</f>
        <v>0</v>
      </c>
    </row>
    <row r="94" spans="3:29" ht="15" customHeight="1" x14ac:dyDescent="0.15">
      <c r="C94" s="182"/>
      <c r="D94" s="210"/>
      <c r="E94" s="184" t="s">
        <v>608</v>
      </c>
      <c r="F94" s="227"/>
      <c r="G94" s="297" t="str">
        <f ca="1">IF(OR(AC$8=0,L94="b"),"",IF(L94="l",0,"("&amp;FIXED(-F94,K95,0)&amp;M94))</f>
        <v/>
      </c>
      <c r="H94" s="183"/>
      <c r="I94" s="185"/>
      <c r="L94" t="str">
        <f t="shared" ca="1" si="13"/>
        <v>b</v>
      </c>
      <c r="M94" t="str">
        <f>")"&amp;REPT(" ",2-K95)&amp;IF(K95=0," ","")</f>
        <v xml:space="preserve">)   </v>
      </c>
      <c r="O94" s="194"/>
      <c r="P94" s="207">
        <f>D94</f>
        <v>0</v>
      </c>
      <c r="Q94" s="207" t="str">
        <f>E94</f>
        <v>露出 塩ビ製</v>
      </c>
      <c r="R94" s="300" t="str">
        <f t="shared" ca="1" si="15"/>
        <v/>
      </c>
      <c r="S94" s="304"/>
      <c r="T94" s="149"/>
      <c r="U94" s="206">
        <f ca="1">IF(OR(AC$8=0,SUM(Z95:AC95)=0),1,IF(L94="l","",SUM(AB95:AC95)))</f>
        <v>1</v>
      </c>
      <c r="V94" s="394"/>
      <c r="W94" s="50"/>
      <c r="Z94"/>
    </row>
    <row r="95" spans="3:29" ht="15" customHeight="1" x14ac:dyDescent="0.15">
      <c r="C95" s="186"/>
      <c r="D95" s="205" t="s">
        <v>607</v>
      </c>
      <c r="E95" s="188" t="s">
        <v>638</v>
      </c>
      <c r="F95" s="226">
        <v>9</v>
      </c>
      <c r="G95" s="296" t="str">
        <f ca="1">IF(L95="b","",IF(L95="l",0,FIXED(F95,K95,0)&amp;M95))</f>
        <v xml:space="preserve">9    </v>
      </c>
      <c r="H95" s="187" t="s">
        <v>232</v>
      </c>
      <c r="I95" s="189"/>
      <c r="K95" s="215"/>
      <c r="L95" t="str">
        <f t="shared" ca="1" si="13"/>
        <v>v</v>
      </c>
      <c r="M95" t="str">
        <f>REPT(" ",3-K95)&amp;IF(K95=0," ","")</f>
        <v xml:space="preserve">    </v>
      </c>
      <c r="O95" s="194"/>
      <c r="P95" s="208" t="str">
        <f>IF(ISNUMBER(D95),LOOKUP(D95,$AB$5:$AC$7),D95)</f>
        <v>アウトレットボックス</v>
      </c>
      <c r="Q95" s="208" t="str">
        <f>E95</f>
        <v>四角 浅形</v>
      </c>
      <c r="R95" s="301" t="str">
        <f t="shared" ca="1" si="15"/>
        <v xml:space="preserve">9    </v>
      </c>
      <c r="S95" s="305" t="str">
        <f>H95</f>
        <v>個</v>
      </c>
      <c r="T95" s="150">
        <v>289</v>
      </c>
      <c r="U95" s="216">
        <f ca="1">IF(L95="l","",IF(D95+F95&gt;0,SUM(Z95:AA95),-1))</f>
        <v>2601</v>
      </c>
      <c r="V95" s="395">
        <v>167</v>
      </c>
      <c r="W95" s="107"/>
      <c r="Z95" s="114">
        <f>IF(D95&gt;0,0,TRUNC(F95*T95+Y95*X95))</f>
        <v>2601</v>
      </c>
      <c r="AA95" t="b">
        <f>IF($D95=1,SUM(Z$13:Z93)-SUM(AA$13:AA93),IF($D95=2,$AA$6,IF($D95=3,TRUNC($AA$6,-3))))</f>
        <v>0</v>
      </c>
      <c r="AB95">
        <f ca="1">IF(OR(AC$8=0,L94="l",D95&gt;0,U95=-1),0,IF(L94="b",-U95,TRUNC(F94*T95)))</f>
        <v>0</v>
      </c>
      <c r="AC95" t="b">
        <f>IF($D95=1,SUM(AB$13:AB93)-SUM(AC$13:AC93),IF($D95=2,$AA$5,IF($D95=3,TRUNC($AA$5,-3))))</f>
        <v>0</v>
      </c>
    </row>
    <row r="96" spans="3:29" ht="15" customHeight="1" x14ac:dyDescent="0.15">
      <c r="C96" s="182"/>
      <c r="D96" s="210"/>
      <c r="E96" s="184"/>
      <c r="F96" s="227"/>
      <c r="G96" s="297" t="str">
        <f ca="1">IF(OR(AC$8=0,L96="b"),"",IF(L96="l",0,"("&amp;FIXED(-F96,K97,0)&amp;M96))</f>
        <v/>
      </c>
      <c r="H96" s="183"/>
      <c r="I96" s="185"/>
      <c r="L96" t="str">
        <f ca="1">CELL("type",F96)</f>
        <v>b</v>
      </c>
      <c r="M96" t="str">
        <f>")"&amp;REPT(" ",2-K97)&amp;IF(K97=0," ","")</f>
        <v xml:space="preserve">)   </v>
      </c>
      <c r="O96" s="194"/>
      <c r="P96" s="207">
        <f>D96</f>
        <v>0</v>
      </c>
      <c r="Q96" s="207">
        <f>E96</f>
        <v>0</v>
      </c>
      <c r="R96" s="300" t="str">
        <f ca="1">G96</f>
        <v/>
      </c>
      <c r="S96" s="304"/>
      <c r="T96" s="149"/>
      <c r="U96" s="206">
        <f ca="1">IF(OR(AC$8=0,SUM(Z97:AC97)=0),1,IF(L96="l","",SUM(AB97:AC97)))</f>
        <v>1</v>
      </c>
      <c r="V96" s="394"/>
      <c r="W96" s="50"/>
      <c r="Z96"/>
    </row>
    <row r="97" spans="3:29" ht="15" customHeight="1" x14ac:dyDescent="0.15">
      <c r="C97" s="186"/>
      <c r="D97" s="205"/>
      <c r="E97" s="188"/>
      <c r="F97" s="226"/>
      <c r="G97" s="296" t="str">
        <f ca="1">IF(L97="b","",IF(L97="l",0,FIXED(F97,K97,0)&amp;M97))</f>
        <v/>
      </c>
      <c r="H97" s="187"/>
      <c r="I97" s="189"/>
      <c r="K97" s="215"/>
      <c r="L97" t="str">
        <f ca="1">CELL("type",F97)</f>
        <v>b</v>
      </c>
      <c r="M97" t="str">
        <f>REPT(" ",3-K97)&amp;IF(K97=0," ","")</f>
        <v xml:space="preserve">    </v>
      </c>
      <c r="O97" s="194"/>
      <c r="P97" s="208">
        <f>IF(ISNUMBER(D97),LOOKUP(D97,$AB$5:$AC$7),D97)</f>
        <v>0</v>
      </c>
      <c r="Q97" s="208">
        <f>E97</f>
        <v>0</v>
      </c>
      <c r="R97" s="301" t="str">
        <f ca="1">G97</f>
        <v/>
      </c>
      <c r="S97" s="305">
        <f>H97</f>
        <v>0</v>
      </c>
      <c r="T97" s="150"/>
      <c r="U97" s="216">
        <f ca="1">IF(L97="l","",IF(D97+F97&gt;0,SUM(Z97:AA97),-1))</f>
        <v>-1</v>
      </c>
      <c r="V97" s="395"/>
      <c r="W97" s="107"/>
      <c r="Z97" s="114">
        <f>IF(D97&gt;0,0,TRUNC(F97*T97+Y97*X97))</f>
        <v>0</v>
      </c>
      <c r="AA97" t="b">
        <f>IF($D97=1,SUM(Z$13:Z95)-SUM(AA$13:AA95),IF($D97=2,$AA$6,IF($D97=3,TRUNC($AA$6,-3))))</f>
        <v>0</v>
      </c>
      <c r="AB97">
        <f ca="1">IF(OR(AC$8=0,L96="l",D97&gt;0,U97=-1),0,IF(L96="b",-U97,TRUNC(F96*T97)))</f>
        <v>0</v>
      </c>
      <c r="AC97" t="b">
        <f>IF($D97=1,SUM(AB$13:AB95)-SUM(AC$13:AC95),IF($D97=2,$AA$5,IF($D97=3,TRUNC($AA$5,-3))))</f>
        <v>0</v>
      </c>
    </row>
    <row r="98" spans="3:29" ht="15" customHeight="1" x14ac:dyDescent="0.15">
      <c r="C98" s="182"/>
      <c r="D98" s="210"/>
      <c r="E98" s="184"/>
      <c r="F98" s="227"/>
      <c r="G98" s="297" t="str">
        <f ca="1">IF(OR(AC$8=0,L98="b"),"",IF(L98="l",0,"("&amp;FIXED(-F98,K99,0)&amp;M98))</f>
        <v/>
      </c>
      <c r="H98" s="183"/>
      <c r="I98" s="185"/>
      <c r="L98" t="str">
        <f t="shared" ref="L98:L105" ca="1" si="16">CELL("type",F98)</f>
        <v>b</v>
      </c>
      <c r="M98" t="str">
        <f>")"&amp;REPT(" ",2-K99)&amp;IF(K99=0," ","")</f>
        <v xml:space="preserve">)   </v>
      </c>
      <c r="O98" s="194"/>
      <c r="P98" s="207">
        <f>D98</f>
        <v>0</v>
      </c>
      <c r="Q98" s="207">
        <f>E98</f>
        <v>0</v>
      </c>
      <c r="R98" s="300" t="str">
        <f t="shared" ref="R98:R105" ca="1" si="17">G98</f>
        <v/>
      </c>
      <c r="S98" s="304"/>
      <c r="T98" s="149"/>
      <c r="U98" s="206">
        <f ca="1">IF(OR(AC$8=0,SUM(Z99:AC99)=0),1,IF(L98="l","",SUM(AB99:AC99)))</f>
        <v>1</v>
      </c>
      <c r="V98" s="394"/>
      <c r="W98" s="50"/>
      <c r="Z98"/>
    </row>
    <row r="99" spans="3:29" ht="15" customHeight="1" x14ac:dyDescent="0.15">
      <c r="C99" s="186"/>
      <c r="D99" s="205">
        <v>1</v>
      </c>
      <c r="E99" s="188"/>
      <c r="F99" s="226"/>
      <c r="G99" s="296" t="str">
        <f ca="1">IF(L99="b","",IF(L99="l",0,FIXED(F99,K99,0)&amp;M99))</f>
        <v/>
      </c>
      <c r="H99" s="187"/>
      <c r="I99" s="189"/>
      <c r="K99" s="215"/>
      <c r="L99" t="str">
        <f t="shared" ca="1" si="16"/>
        <v>b</v>
      </c>
      <c r="M99" t="str">
        <f>REPT(" ",3-K99)&amp;IF(K99=0," ","")</f>
        <v xml:space="preserve">    </v>
      </c>
      <c r="O99" s="194"/>
      <c r="P99" s="208" t="str">
        <f>IF(ISNUMBER(D99),LOOKUP(D99,$AB$5:$AC$7),D99)</f>
        <v>小    　計</v>
      </c>
      <c r="Q99" s="208">
        <f t="shared" ref="Q99:Q105" si="18">E99</f>
        <v>0</v>
      </c>
      <c r="R99" s="301" t="str">
        <f t="shared" ca="1" si="17"/>
        <v/>
      </c>
      <c r="S99" s="305">
        <f>H99</f>
        <v>0</v>
      </c>
      <c r="T99" s="150"/>
      <c r="U99" s="216">
        <f ca="1">IF(L99="l","",IF(D99+F99&gt;0,SUM(Z99:AA99),-1))</f>
        <v>21090</v>
      </c>
      <c r="V99" s="395"/>
      <c r="W99" s="107"/>
      <c r="Z99" s="114">
        <f>IF(D99&gt;0,0,TRUNC(F99*T99+Y99*X99))</f>
        <v>0</v>
      </c>
      <c r="AA99">
        <f>IF($D99=1,SUM(Z$13:Z97)-SUM(AA$13:AA97),IF($D99=2,$AA$6,IF($D99=3,TRUNC($AA$6,-3))))</f>
        <v>21090</v>
      </c>
      <c r="AB99">
        <f ca="1">IF(OR(AC$8=0,L98="l",D99&gt;0,U99=-1),0,IF(L98="b",-U99,TRUNC(F98*T99)))</f>
        <v>0</v>
      </c>
      <c r="AC99">
        <f ca="1">IF($D99=1,SUM(AB$13:AB97)-SUM(AC$13:AC97),IF($D99=2,$AA$5,IF($D99=3,TRUNC($AA$5,-3))))</f>
        <v>0</v>
      </c>
    </row>
    <row r="100" spans="3:29" ht="15" customHeight="1" x14ac:dyDescent="0.15">
      <c r="C100" s="182"/>
      <c r="D100" s="210"/>
      <c r="E100" s="184"/>
      <c r="F100" s="227"/>
      <c r="G100" s="297" t="str">
        <f ca="1">IF(OR(AC$8=0,L100="b"),"",IF(L100="l",0,"("&amp;FIXED(-F100,K101,0)&amp;M100))</f>
        <v/>
      </c>
      <c r="H100" s="183"/>
      <c r="I100" s="185"/>
      <c r="L100" t="str">
        <f t="shared" ca="1" si="16"/>
        <v>b</v>
      </c>
      <c r="M100" t="str">
        <f>")"&amp;REPT(" ",2-K101)&amp;IF(K101=0," ","")</f>
        <v xml:space="preserve">)   </v>
      </c>
      <c r="O100" s="194"/>
      <c r="P100" s="207">
        <f>D100</f>
        <v>0</v>
      </c>
      <c r="Q100" s="207">
        <f t="shared" si="18"/>
        <v>0</v>
      </c>
      <c r="R100" s="300" t="str">
        <f t="shared" ca="1" si="17"/>
        <v/>
      </c>
      <c r="S100" s="304"/>
      <c r="T100" s="149"/>
      <c r="U100" s="206">
        <f ca="1">IF(OR(AC$8=0,SUM(Z101:AC101)=0),1,IF(L100="l","",SUM(AB101:AC101)))</f>
        <v>1</v>
      </c>
      <c r="V100" s="394"/>
      <c r="W100" s="50"/>
      <c r="Z100"/>
    </row>
    <row r="101" spans="3:29" ht="15" customHeight="1" x14ac:dyDescent="0.15">
      <c r="C101" s="186"/>
      <c r="D101" s="205"/>
      <c r="E101" s="188"/>
      <c r="F101" s="226"/>
      <c r="G101" s="296" t="str">
        <f ca="1">IF(L101="b","",IF(L101="l",0,FIXED(F101,K101,0)&amp;M101))</f>
        <v/>
      </c>
      <c r="H101" s="187"/>
      <c r="I101" s="189"/>
      <c r="K101" s="215"/>
      <c r="L101" t="str">
        <f t="shared" ca="1" si="16"/>
        <v>b</v>
      </c>
      <c r="M101" t="str">
        <f>REPT(" ",3-K101)&amp;IF(K101=0," ","")</f>
        <v xml:space="preserve">    </v>
      </c>
      <c r="O101" s="194"/>
      <c r="P101" s="208">
        <f>IF(ISNUMBER(D101),LOOKUP(D101,$AB$5:$AC$7),D101)</f>
        <v>0</v>
      </c>
      <c r="Q101" s="208">
        <f t="shared" si="18"/>
        <v>0</v>
      </c>
      <c r="R101" s="301" t="str">
        <f t="shared" ca="1" si="17"/>
        <v/>
      </c>
      <c r="S101" s="305">
        <f>H101</f>
        <v>0</v>
      </c>
      <c r="T101" s="150"/>
      <c r="U101" s="216">
        <f ca="1">IF(L101="l","",IF(D101+F101&gt;0,SUM(Z101:AA101),-1))</f>
        <v>-1</v>
      </c>
      <c r="V101" s="395"/>
      <c r="W101" s="107"/>
      <c r="Z101" s="114">
        <f>IF(D101&gt;0,0,TRUNC(F101*T101+Y101*X101))</f>
        <v>0</v>
      </c>
      <c r="AA101" t="b">
        <f>IF($D101=1,SUM(Z$13:Z99)-SUM(AA$13:AA99),IF($D101=2,$AA$6,IF($D101=3,TRUNC($AA$6,-3))))</f>
        <v>0</v>
      </c>
      <c r="AB101">
        <f ca="1">IF(OR(AC$8=0,L100="l",D101&gt;0,U101=-1),0,IF(L100="b",-U101,TRUNC(F100*T101)))</f>
        <v>0</v>
      </c>
      <c r="AC101" t="b">
        <f>IF($D101=1,SUM(AB$13:AB99)-SUM(AC$13:AC99),IF($D101=2,$AA$5,IF($D101=3,TRUNC($AA$5,-3))))</f>
        <v>0</v>
      </c>
    </row>
    <row r="102" spans="3:29" ht="15" customHeight="1" x14ac:dyDescent="0.15">
      <c r="C102" s="182"/>
      <c r="D102" s="210"/>
      <c r="E102" s="184"/>
      <c r="F102" s="227"/>
      <c r="G102" s="297" t="str">
        <f ca="1">IF(OR(AC$8=0,L102="b"),"",IF(L102="l",0,"("&amp;FIXED(-F102,K103,0)&amp;M102))</f>
        <v/>
      </c>
      <c r="H102" s="183"/>
      <c r="I102" s="185"/>
      <c r="L102" t="str">
        <f t="shared" ca="1" si="16"/>
        <v>b</v>
      </c>
      <c r="M102" t="str">
        <f>")"&amp;REPT(" ",2-K103)&amp;IF(K103=0," ","")</f>
        <v xml:space="preserve">)   </v>
      </c>
      <c r="O102" s="194"/>
      <c r="P102" s="207">
        <f>D102</f>
        <v>0</v>
      </c>
      <c r="Q102" s="207">
        <f t="shared" si="18"/>
        <v>0</v>
      </c>
      <c r="R102" s="300" t="str">
        <f t="shared" ca="1" si="17"/>
        <v/>
      </c>
      <c r="S102" s="304"/>
      <c r="T102" s="149"/>
      <c r="U102" s="206">
        <f ca="1">IF(OR(AC$8=0,SUM(Z103:AC103)=0),1,IF(L102="l","",SUM(AB103:AC103)))</f>
        <v>1</v>
      </c>
      <c r="V102" s="394"/>
      <c r="W102" s="50"/>
      <c r="Z102"/>
    </row>
    <row r="103" spans="3:29" ht="15" customHeight="1" x14ac:dyDescent="0.15">
      <c r="C103" s="186"/>
      <c r="D103" s="205"/>
      <c r="E103" s="188"/>
      <c r="F103" s="226"/>
      <c r="G103" s="296" t="str">
        <f ca="1">IF(L103="b","",IF(L103="l",0,FIXED(F103,K103,0)&amp;M103))</f>
        <v/>
      </c>
      <c r="H103" s="187"/>
      <c r="I103" s="189"/>
      <c r="K103" s="215"/>
      <c r="L103" t="str">
        <f t="shared" ca="1" si="16"/>
        <v>b</v>
      </c>
      <c r="M103" t="str">
        <f>REPT(" ",3-K103)&amp;IF(K103=0," ","")</f>
        <v xml:space="preserve">    </v>
      </c>
      <c r="O103" s="194"/>
      <c r="P103" s="208">
        <f>IF(ISNUMBER(D103),LOOKUP(D103,$AB$5:$AC$7),D103)</f>
        <v>0</v>
      </c>
      <c r="Q103" s="208">
        <f t="shared" si="18"/>
        <v>0</v>
      </c>
      <c r="R103" s="301" t="str">
        <f t="shared" ca="1" si="17"/>
        <v/>
      </c>
      <c r="S103" s="305">
        <f>H103</f>
        <v>0</v>
      </c>
      <c r="T103" s="150"/>
      <c r="U103" s="216">
        <f ca="1">IF(L103="l","",IF(D103+F103&gt;0,SUM(Z103:AA103),-1))</f>
        <v>-1</v>
      </c>
      <c r="V103" s="395"/>
      <c r="W103" s="107"/>
      <c r="Z103" s="114">
        <f>IF(D103&gt;0,0,TRUNC(F103*T103+Y103*X103))</f>
        <v>0</v>
      </c>
      <c r="AA103" t="b">
        <f>IF($D103=1,SUM(Z$13:Z101)-SUM(AA$13:AA101),IF($D103=2,$AA$6,IF($D103=3,TRUNC($AA$6,-3))))</f>
        <v>0</v>
      </c>
      <c r="AB103">
        <f ca="1">IF(OR(AC$8=0,L102="l",D103&gt;0,U103=-1),0,IF(L102="b",-U103,TRUNC(F102*T103)))</f>
        <v>0</v>
      </c>
      <c r="AC103" t="b">
        <f>IF($D103=1,SUM(AB$13:AB101)-SUM(AC$13:AC101),IF($D103=2,$AA$5,IF($D103=3,TRUNC($AA$5,-3))))</f>
        <v>0</v>
      </c>
    </row>
    <row r="104" spans="3:29" ht="15" customHeight="1" x14ac:dyDescent="0.15">
      <c r="C104" s="182"/>
      <c r="D104" s="210"/>
      <c r="E104" s="184"/>
      <c r="F104" s="227"/>
      <c r="G104" s="297" t="str">
        <f ca="1">IF(OR(AC$8=0,L104="b"),"",IF(L104="l",0,"("&amp;FIXED(-F104,K105,0)&amp;M104))</f>
        <v/>
      </c>
      <c r="H104" s="183"/>
      <c r="I104" s="185"/>
      <c r="L104" t="str">
        <f t="shared" ca="1" si="16"/>
        <v>b</v>
      </c>
      <c r="M104" t="str">
        <f>")"&amp;REPT(" ",2-K105)&amp;IF(K105=0," ","")</f>
        <v xml:space="preserve">)   </v>
      </c>
      <c r="O104" s="194"/>
      <c r="P104" s="207">
        <f>D104</f>
        <v>0</v>
      </c>
      <c r="Q104" s="207">
        <f t="shared" si="18"/>
        <v>0</v>
      </c>
      <c r="R104" s="300" t="str">
        <f t="shared" ca="1" si="17"/>
        <v/>
      </c>
      <c r="S104" s="304"/>
      <c r="T104" s="149"/>
      <c r="U104" s="206">
        <f ca="1">IF(OR(AC$8=0,SUM(Z105:AC105)=0),1,IF(L104="l","",SUM(AB105:AC105)))</f>
        <v>1</v>
      </c>
      <c r="V104" s="394"/>
      <c r="W104" s="50"/>
      <c r="Z104"/>
    </row>
    <row r="105" spans="3:29" ht="15" customHeight="1" x14ac:dyDescent="0.15">
      <c r="C105" s="186"/>
      <c r="D105" s="205"/>
      <c r="E105" s="188"/>
      <c r="F105" s="226"/>
      <c r="G105" s="296" t="str">
        <f ca="1">IF(L105="b","",IF(L105="l",0,FIXED(F105,K105,0)&amp;M105))</f>
        <v/>
      </c>
      <c r="H105" s="187"/>
      <c r="I105" s="189"/>
      <c r="K105" s="215"/>
      <c r="L105" t="str">
        <f t="shared" ca="1" si="16"/>
        <v>b</v>
      </c>
      <c r="M105" t="str">
        <f>REPT(" ",3-K105)&amp;IF(K105=0," ","")</f>
        <v xml:space="preserve">    </v>
      </c>
      <c r="O105" s="194"/>
      <c r="P105" s="208">
        <f>IF(ISNUMBER(D105),LOOKUP(D105,$AB$5:$AC$7),D105)</f>
        <v>0</v>
      </c>
      <c r="Q105" s="208">
        <f t="shared" si="18"/>
        <v>0</v>
      </c>
      <c r="R105" s="301" t="str">
        <f t="shared" ca="1" si="17"/>
        <v/>
      </c>
      <c r="S105" s="305">
        <f>H105</f>
        <v>0</v>
      </c>
      <c r="T105" s="150"/>
      <c r="U105" s="216">
        <f ca="1">IF(L105="l","",IF(D105+F105&gt;0,SUM(Z105:AA105),-1))</f>
        <v>-1</v>
      </c>
      <c r="V105" s="395"/>
      <c r="W105" s="107"/>
      <c r="Z105" s="114">
        <f>IF(D105&gt;0,0,TRUNC(F105*T105+Y105*X105))</f>
        <v>0</v>
      </c>
      <c r="AA105" t="b">
        <f>IF($D105=1,SUM(Z$13:Z103)-SUM(AA$13:AA103),IF($D105=2,$AA$6,IF($D105=3,TRUNC($AA$6,-3))))</f>
        <v>0</v>
      </c>
      <c r="AB105">
        <f ca="1">IF(OR(AC$8=0,L104="l",D105&gt;0,U105=-1),0,IF(L104="b",-U105,TRUNC(F104*T105)))</f>
        <v>0</v>
      </c>
      <c r="AC105" t="b">
        <f>IF($D105=1,SUM(AB$13:AB103)-SUM(AC$13:AC103),IF($D105=2,$AA$5,IF($D105=3,TRUNC($AA$5,-3))))</f>
        <v>0</v>
      </c>
    </row>
    <row r="106" spans="3:29" ht="15" customHeight="1" x14ac:dyDescent="0.15">
      <c r="C106" s="182"/>
      <c r="D106" s="210"/>
      <c r="E106" s="184"/>
      <c r="F106" s="227"/>
      <c r="G106" s="297" t="str">
        <f ca="1">IF(OR(AC$8=0,L106="b"),"",IF(L106="l",0,"("&amp;FIXED(-F106,K107,0)&amp;M106))</f>
        <v/>
      </c>
      <c r="H106" s="183"/>
      <c r="I106" s="185"/>
      <c r="L106" t="str">
        <f t="shared" ref="L106:L111" ca="1" si="19">CELL("type",F106)</f>
        <v>b</v>
      </c>
      <c r="M106" t="str">
        <f>")"&amp;REPT(" ",2-K107)&amp;IF(K107=0," ","")</f>
        <v xml:space="preserve">)   </v>
      </c>
      <c r="O106" s="194"/>
      <c r="P106" s="207">
        <f>D106</f>
        <v>0</v>
      </c>
      <c r="Q106" s="207">
        <f t="shared" ref="Q106:Q111" si="20">E106</f>
        <v>0</v>
      </c>
      <c r="R106" s="300" t="str">
        <f t="shared" ref="R106:R111" ca="1" si="21">G106</f>
        <v/>
      </c>
      <c r="S106" s="304"/>
      <c r="T106" s="149"/>
      <c r="U106" s="206">
        <f ca="1">IF(OR(AC$8=0,SUM(Z107:AC107)=0),1,IF(L106="l","",SUM(AB107:AC107)))</f>
        <v>1</v>
      </c>
      <c r="V106" s="394"/>
      <c r="W106" s="50"/>
      <c r="Z106"/>
    </row>
    <row r="107" spans="3:29" ht="15" customHeight="1" x14ac:dyDescent="0.15">
      <c r="C107" s="186"/>
      <c r="D107" s="205"/>
      <c r="E107" s="188"/>
      <c r="F107" s="226"/>
      <c r="G107" s="296" t="str">
        <f ca="1">IF(L107="b","",IF(L107="l",0,FIXED(F107,K107,0)&amp;M107))</f>
        <v/>
      </c>
      <c r="H107" s="187"/>
      <c r="I107" s="189"/>
      <c r="K107" s="215"/>
      <c r="L107" t="str">
        <f t="shared" ca="1" si="19"/>
        <v>b</v>
      </c>
      <c r="M107" t="str">
        <f>REPT(" ",3-K107)&amp;IF(K107=0," ","")</f>
        <v xml:space="preserve">    </v>
      </c>
      <c r="O107" s="194"/>
      <c r="P107" s="208">
        <f>IF(ISNUMBER(D107),LOOKUP(D107,$AB$5:$AC$7),D107)</f>
        <v>0</v>
      </c>
      <c r="Q107" s="208">
        <f t="shared" si="20"/>
        <v>0</v>
      </c>
      <c r="R107" s="301" t="str">
        <f t="shared" ca="1" si="21"/>
        <v/>
      </c>
      <c r="S107" s="305">
        <f>H107</f>
        <v>0</v>
      </c>
      <c r="T107" s="150"/>
      <c r="U107" s="216">
        <f ca="1">IF(L107="l","",IF(D107+F107&gt;0,SUM(Z107:AA107),-1))</f>
        <v>-1</v>
      </c>
      <c r="V107" s="395"/>
      <c r="W107" s="107"/>
      <c r="Z107" s="114">
        <f>IF(D107&gt;0,0,TRUNC(F107*T107+Y107*X107))</f>
        <v>0</v>
      </c>
      <c r="AA107" t="b">
        <f>IF($D107=1,SUM(Z$13:Z105)-SUM(AA$13:AA105),IF($D107=2,$AA$6,IF($D107=3,TRUNC($AA$6,-3))))</f>
        <v>0</v>
      </c>
      <c r="AB107">
        <f ca="1">IF(OR(AC$8=0,L106="l",D107&gt;0,U107=-1),0,IF(L106="b",-U107,TRUNC(F106*T107)))</f>
        <v>0</v>
      </c>
      <c r="AC107" t="b">
        <f>IF($D107=1,SUM(AB$13:AB105)-SUM(AC$13:AC105),IF($D107=2,$AA$5,IF($D107=3,TRUNC($AA$5,-3))))</f>
        <v>0</v>
      </c>
    </row>
    <row r="108" spans="3:29" ht="15" customHeight="1" x14ac:dyDescent="0.15">
      <c r="C108" s="182"/>
      <c r="D108" s="210"/>
      <c r="E108" s="184"/>
      <c r="F108" s="227"/>
      <c r="G108" s="297" t="str">
        <f ca="1">IF(OR(AC$8=0,L108="b"),"",IF(L108="l",0,"("&amp;FIXED(-F108,K109,0)&amp;M108))</f>
        <v/>
      </c>
      <c r="H108" s="183"/>
      <c r="I108" s="185"/>
      <c r="L108" t="str">
        <f t="shared" ca="1" si="19"/>
        <v>b</v>
      </c>
      <c r="M108" t="str">
        <f>")"&amp;REPT(" ",2-K109)&amp;IF(K109=0," ","")</f>
        <v xml:space="preserve">)   </v>
      </c>
      <c r="O108" s="194"/>
      <c r="P108" s="207">
        <f>D108</f>
        <v>0</v>
      </c>
      <c r="Q108" s="207">
        <f t="shared" si="20"/>
        <v>0</v>
      </c>
      <c r="R108" s="300" t="str">
        <f t="shared" ca="1" si="21"/>
        <v/>
      </c>
      <c r="S108" s="304"/>
      <c r="T108" s="149"/>
      <c r="U108" s="206">
        <f ca="1">IF(OR(AC$8=0,SUM(Z109:AC109)=0),1,IF(L108="l","",SUM(AB109:AC109)))</f>
        <v>1</v>
      </c>
      <c r="V108" s="394"/>
      <c r="W108" s="50"/>
      <c r="Z108"/>
    </row>
    <row r="109" spans="3:29" ht="15" customHeight="1" x14ac:dyDescent="0.15">
      <c r="C109" s="186"/>
      <c r="D109" s="205"/>
      <c r="E109" s="188"/>
      <c r="F109" s="226"/>
      <c r="G109" s="296" t="str">
        <f ca="1">IF(L109="b","",IF(L109="l",0,FIXED(F109,K109,0)&amp;M109))</f>
        <v/>
      </c>
      <c r="H109" s="187"/>
      <c r="I109" s="189"/>
      <c r="K109" s="215"/>
      <c r="L109" t="str">
        <f t="shared" ca="1" si="19"/>
        <v>b</v>
      </c>
      <c r="M109" t="str">
        <f>REPT(" ",3-K109)&amp;IF(K109=0," ","")</f>
        <v xml:space="preserve">    </v>
      </c>
      <c r="O109" s="194"/>
      <c r="P109" s="208">
        <f>IF(ISNUMBER(D109),LOOKUP(D109,$AB$5:$AC$7),D109)</f>
        <v>0</v>
      </c>
      <c r="Q109" s="208">
        <f t="shared" si="20"/>
        <v>0</v>
      </c>
      <c r="R109" s="301" t="str">
        <f t="shared" ca="1" si="21"/>
        <v/>
      </c>
      <c r="S109" s="305">
        <f>H109</f>
        <v>0</v>
      </c>
      <c r="T109" s="150"/>
      <c r="U109" s="216">
        <f ca="1">IF(L109="l","",IF(D109+F109&gt;0,SUM(Z109:AA109),-1))</f>
        <v>-1</v>
      </c>
      <c r="V109" s="395"/>
      <c r="W109" s="107"/>
      <c r="Z109" s="114">
        <f>IF(D109&gt;0,0,TRUNC(F109*T109+Y109*X109))</f>
        <v>0</v>
      </c>
      <c r="AA109" t="b">
        <f>IF($D109=1,SUM(Z$13:Z107)-SUM(AA$13:AA107),IF($D109=2,$AA$6,IF($D109=3,TRUNC($AA$6,-3))))</f>
        <v>0</v>
      </c>
      <c r="AB109">
        <f ca="1">IF(OR(AC$8=0,L108="l",D109&gt;0,U109=-1),0,IF(L108="b",-U109,TRUNC(F108*T109)))</f>
        <v>0</v>
      </c>
      <c r="AC109" t="b">
        <f>IF($D109=1,SUM(AB$13:AB107)-SUM(AC$13:AC107),IF($D109=2,$AA$5,IF($D109=3,TRUNC($AA$5,-3))))</f>
        <v>0</v>
      </c>
    </row>
    <row r="110" spans="3:29" ht="15" customHeight="1" x14ac:dyDescent="0.15">
      <c r="C110" s="182"/>
      <c r="D110" s="210"/>
      <c r="E110" s="184"/>
      <c r="F110" s="227"/>
      <c r="G110" s="297" t="str">
        <f ca="1">IF(OR(AC$8=0,L110="b"),"",IF(L110="l",0,"("&amp;FIXED(-F110,K111,0)&amp;M110))</f>
        <v/>
      </c>
      <c r="H110" s="183"/>
      <c r="I110" s="185"/>
      <c r="L110" t="str">
        <f t="shared" ca="1" si="19"/>
        <v>b</v>
      </c>
      <c r="M110" t="str">
        <f>")"&amp;REPT(" ",2-K111)&amp;IF(K111=0," ","")</f>
        <v xml:space="preserve">)   </v>
      </c>
      <c r="O110" s="194"/>
      <c r="P110" s="207">
        <f>D110</f>
        <v>0</v>
      </c>
      <c r="Q110" s="207">
        <f t="shared" si="20"/>
        <v>0</v>
      </c>
      <c r="R110" s="300" t="str">
        <f t="shared" ca="1" si="21"/>
        <v/>
      </c>
      <c r="S110" s="304"/>
      <c r="T110" s="149"/>
      <c r="U110" s="206">
        <f ca="1">IF(OR(AC$8=0,SUM(Z111:AC111)=0),1,IF(L110="l","",SUM(AB111:AC111)))</f>
        <v>1</v>
      </c>
      <c r="V110" s="394"/>
      <c r="W110" s="50"/>
      <c r="Z110"/>
    </row>
    <row r="111" spans="3:29" ht="15" customHeight="1" x14ac:dyDescent="0.15">
      <c r="C111" s="186"/>
      <c r="D111" s="205"/>
      <c r="E111" s="188"/>
      <c r="F111" s="226"/>
      <c r="G111" s="296" t="str">
        <f ca="1">IF(L111="b","",IF(L111="l",0,FIXED(F111,K111,0)&amp;M111))</f>
        <v/>
      </c>
      <c r="H111" s="187"/>
      <c r="I111" s="189"/>
      <c r="K111" s="215"/>
      <c r="L111" t="str">
        <f t="shared" ca="1" si="19"/>
        <v>b</v>
      </c>
      <c r="M111" t="str">
        <f>REPT(" ",3-K111)&amp;IF(K111=0," ","")</f>
        <v xml:space="preserve">    </v>
      </c>
      <c r="O111" s="194"/>
      <c r="P111" s="208">
        <f>IF(ISNUMBER(D111),LOOKUP(D111,$AB$5:$AC$7),D111)</f>
        <v>0</v>
      </c>
      <c r="Q111" s="208">
        <f t="shared" si="20"/>
        <v>0</v>
      </c>
      <c r="R111" s="301" t="str">
        <f t="shared" ca="1" si="21"/>
        <v/>
      </c>
      <c r="S111" s="305">
        <f>H111</f>
        <v>0</v>
      </c>
      <c r="T111" s="150"/>
      <c r="U111" s="216">
        <f ca="1">IF(L111="l","",IF(D111+F111&gt;0,SUM(Z111:AA111),-1))</f>
        <v>-1</v>
      </c>
      <c r="V111" s="395"/>
      <c r="W111" s="107"/>
      <c r="Z111" s="114">
        <f>IF(D111&gt;0,0,TRUNC(F111*T111+Y111*X111))</f>
        <v>0</v>
      </c>
      <c r="AA111" t="b">
        <f>IF($D111=1,SUM(Z$13:Z109)-SUM(AA$13:AA109),IF($D111=2,$AA$6,IF($D111=3,TRUNC($AA$6,-3))))</f>
        <v>0</v>
      </c>
      <c r="AB111">
        <f ca="1">IF(OR(AC$8=0,L110="l",D111&gt;0,U111=-1),0,IF(L110="b",-U111,TRUNC(F110*T111)))</f>
        <v>0</v>
      </c>
      <c r="AC111" t="b">
        <f>IF($D111=1,SUM(AB$13:AB109)-SUM(AC$13:AC109),IF($D111=2,$AA$5,IF($D111=3,TRUNC($AA$5,-3))))</f>
        <v>0</v>
      </c>
    </row>
    <row r="112" spans="3:29" ht="15" customHeight="1" x14ac:dyDescent="0.15">
      <c r="C112" s="182"/>
      <c r="D112" s="210"/>
      <c r="E112" s="184"/>
      <c r="F112" s="227"/>
      <c r="G112" s="297" t="str">
        <f ca="1">IF(OR(AC$8=0,L112="b"),"",IF(L112="l",0,"("&amp;FIXED(-F112,K113,0)&amp;M112))</f>
        <v/>
      </c>
      <c r="H112" s="183"/>
      <c r="I112" s="185"/>
      <c r="L112" t="str">
        <f t="shared" ref="L112:L143" ca="1" si="22">CELL("type",F112)</f>
        <v>b</v>
      </c>
      <c r="M112" t="str">
        <f>")"&amp;REPT(" ",2-K113)&amp;IF(K113=0," ","")</f>
        <v xml:space="preserve">)   </v>
      </c>
      <c r="O112" s="194"/>
      <c r="P112" s="207">
        <f>D112</f>
        <v>0</v>
      </c>
      <c r="Q112" s="207">
        <f t="shared" ref="Q112:Q143" si="23">E112</f>
        <v>0</v>
      </c>
      <c r="R112" s="300" t="str">
        <f t="shared" ref="R112:R143" ca="1" si="24">G112</f>
        <v/>
      </c>
      <c r="S112" s="304"/>
      <c r="T112" s="149"/>
      <c r="U112" s="206">
        <f ca="1">IF(OR(AC$8=0,SUM(Z113:AC113)=0),1,IF(L112="l","",SUM(AB113:AC113)))</f>
        <v>1</v>
      </c>
      <c r="V112" s="394"/>
      <c r="W112" s="474"/>
      <c r="Z112"/>
    </row>
    <row r="113" spans="3:29" ht="15" customHeight="1" x14ac:dyDescent="0.15">
      <c r="C113" s="186"/>
      <c r="D113" s="205"/>
      <c r="E113" s="188"/>
      <c r="F113" s="226"/>
      <c r="G113" s="296" t="str">
        <f ca="1">IF(L113="b","",IF(L113="l",0,FIXED(F113,K113,0)&amp;M113))</f>
        <v/>
      </c>
      <c r="H113" s="187"/>
      <c r="I113" s="189"/>
      <c r="K113" s="215"/>
      <c r="L113" t="str">
        <f t="shared" ca="1" si="22"/>
        <v>b</v>
      </c>
      <c r="M113" t="str">
        <f>REPT(" ",3-K113)&amp;IF(K113=0," ","")</f>
        <v xml:space="preserve">    </v>
      </c>
      <c r="O113" s="194"/>
      <c r="P113" s="208">
        <f>IF(ISNUMBER(D113),LOOKUP(D113,$AB$5:$AC$7),D113)</f>
        <v>0</v>
      </c>
      <c r="Q113" s="208">
        <f t="shared" si="23"/>
        <v>0</v>
      </c>
      <c r="R113" s="301" t="str">
        <f t="shared" ca="1" si="24"/>
        <v/>
      </c>
      <c r="S113" s="305">
        <f>H113</f>
        <v>0</v>
      </c>
      <c r="T113" s="150"/>
      <c r="U113" s="216">
        <f ca="1">IF(L113="l","",IF(D113+F113&gt;0,SUM(Z113:AA113),-1))</f>
        <v>-1</v>
      </c>
      <c r="V113" s="395"/>
      <c r="W113" s="473"/>
      <c r="Z113" s="114">
        <f>IF(D113&gt;0,0,TRUNC(F113*T113+Y113*X113))</f>
        <v>0</v>
      </c>
      <c r="AA113" t="b">
        <f>IF($D113=1,SUM(Z$13:Z111)-SUM(AA$13:AA111),IF($D113=2,$AA$6,IF($D113=3,TRUNC($AA$6,-3))))</f>
        <v>0</v>
      </c>
      <c r="AB113">
        <f ca="1">IF(OR(AC$8=0,L112="l",D113&gt;0,U113=-1),0,IF(L112="b",-U113,TRUNC(F112*T113)))</f>
        <v>0</v>
      </c>
      <c r="AC113" t="b">
        <f>IF($D113=1,SUM(AB$13:AB111)-SUM(AC$13:AC111),IF($D113=2,$AA$5,IF($D113=3,TRUNC($AA$5,-3))))</f>
        <v>0</v>
      </c>
    </row>
    <row r="114" spans="3:29" ht="15" customHeight="1" x14ac:dyDescent="0.15">
      <c r="C114" s="182"/>
      <c r="D114" s="210"/>
      <c r="E114" s="184"/>
      <c r="F114" s="227"/>
      <c r="G114" s="297" t="str">
        <f ca="1">IF(OR(AC$8=0,L114="b"),"",IF(L114="l",0,"("&amp;FIXED(-F114,K115,0)&amp;M114))</f>
        <v/>
      </c>
      <c r="H114" s="183"/>
      <c r="I114" s="185"/>
      <c r="L114" t="str">
        <f t="shared" ca="1" si="22"/>
        <v>b</v>
      </c>
      <c r="M114" t="str">
        <f>")"&amp;REPT(" ",2-K115)&amp;IF(K115=0," ","")</f>
        <v xml:space="preserve">)   </v>
      </c>
      <c r="O114" s="194"/>
      <c r="P114" s="207">
        <f>D114</f>
        <v>0</v>
      </c>
      <c r="Q114" s="207">
        <f t="shared" si="23"/>
        <v>0</v>
      </c>
      <c r="R114" s="300" t="str">
        <f t="shared" ca="1" si="24"/>
        <v/>
      </c>
      <c r="S114" s="304"/>
      <c r="T114" s="149"/>
      <c r="U114" s="206">
        <f ca="1">IF(OR(AC$8=0,SUM(Z115:AC115)=0),1,IF(L114="l","",SUM(AB115:AC115)))</f>
        <v>1</v>
      </c>
      <c r="V114" s="394"/>
      <c r="W114" s="50"/>
      <c r="Z114"/>
    </row>
    <row r="115" spans="3:29" ht="15" customHeight="1" x14ac:dyDescent="0.15">
      <c r="C115" s="186"/>
      <c r="D115" s="205"/>
      <c r="E115" s="188"/>
      <c r="F115" s="226"/>
      <c r="G115" s="296" t="str">
        <f ca="1">IF(L115="b","",IF(L115="l",0,FIXED(F115,K115,0)&amp;M115))</f>
        <v/>
      </c>
      <c r="H115" s="187"/>
      <c r="I115" s="189"/>
      <c r="K115" s="215"/>
      <c r="L115" t="str">
        <f t="shared" ca="1" si="22"/>
        <v>b</v>
      </c>
      <c r="M115" t="str">
        <f>REPT(" ",3-K115)&amp;IF(K115=0," ","")</f>
        <v xml:space="preserve">    </v>
      </c>
      <c r="O115" s="194"/>
      <c r="P115" s="208">
        <f>IF(ISNUMBER(D115),LOOKUP(D115,$AB$5:$AC$7),D115)</f>
        <v>0</v>
      </c>
      <c r="Q115" s="208">
        <f t="shared" si="23"/>
        <v>0</v>
      </c>
      <c r="R115" s="301" t="str">
        <f t="shared" ca="1" si="24"/>
        <v/>
      </c>
      <c r="S115" s="305">
        <f>H115</f>
        <v>0</v>
      </c>
      <c r="T115" s="150"/>
      <c r="U115" s="216">
        <f ca="1">IF(L115="l","",IF(D115+F115&gt;0,SUM(Z115:AA115),-1))</f>
        <v>-1</v>
      </c>
      <c r="V115" s="395"/>
      <c r="W115" s="107"/>
      <c r="Z115" s="114">
        <f>IF(D115&gt;0,0,TRUNC(F115*T115+Y115*X115))</f>
        <v>0</v>
      </c>
      <c r="AA115" t="b">
        <f>IF($D115=1,SUM(Z$13:Z113)-SUM(AA$13:AA113),IF($D115=2,$AA$6,IF($D115=3,TRUNC($AA$6,-3))))</f>
        <v>0</v>
      </c>
      <c r="AB115">
        <f ca="1">IF(OR(AC$8=0,L114="l",D115&gt;0,U115=-1),0,IF(L114="b",-U115,TRUNC(F114*T115)))</f>
        <v>0</v>
      </c>
      <c r="AC115" t="b">
        <f>IF($D115=1,SUM(AB$13:AB113)-SUM(AC$13:AC113),IF($D115=2,$AA$5,IF($D115=3,TRUNC($AA$5,-3))))</f>
        <v>0</v>
      </c>
    </row>
    <row r="116" spans="3:29" ht="15" customHeight="1" x14ac:dyDescent="0.15">
      <c r="C116" s="182"/>
      <c r="D116" s="210"/>
      <c r="E116" s="184"/>
      <c r="F116" s="227"/>
      <c r="G116" s="297" t="str">
        <f ca="1">IF(OR(AC$8=0,L116="b"),"",IF(L116="l",0,"("&amp;FIXED(-F116,K117,0)&amp;M116))</f>
        <v/>
      </c>
      <c r="H116" s="183"/>
      <c r="I116" s="185"/>
      <c r="L116" t="str">
        <f t="shared" ca="1" si="22"/>
        <v>b</v>
      </c>
      <c r="M116" t="str">
        <f>")"&amp;REPT(" ",2-K117)&amp;IF(K117=0," ","")</f>
        <v xml:space="preserve">)   </v>
      </c>
      <c r="O116" s="194"/>
      <c r="P116" s="207">
        <f>D116</f>
        <v>0</v>
      </c>
      <c r="Q116" s="207">
        <f t="shared" si="23"/>
        <v>0</v>
      </c>
      <c r="R116" s="300" t="str">
        <f t="shared" ca="1" si="24"/>
        <v/>
      </c>
      <c r="S116" s="304"/>
      <c r="T116" s="149"/>
      <c r="U116" s="206">
        <f ca="1">IF(OR(AC$8=0,SUM(Z117:AC117)=0),1,IF(L116="l","",SUM(AB117:AC117)))</f>
        <v>1</v>
      </c>
      <c r="V116" s="394"/>
      <c r="W116" s="50"/>
      <c r="Z116"/>
    </row>
    <row r="117" spans="3:29" ht="15" customHeight="1" x14ac:dyDescent="0.15">
      <c r="C117" s="186"/>
      <c r="D117" s="205"/>
      <c r="E117" s="188"/>
      <c r="F117" s="226"/>
      <c r="G117" s="296" t="str">
        <f ca="1">IF(L117="b","",IF(L117="l",0,FIXED(F117,K117,0)&amp;M117))</f>
        <v/>
      </c>
      <c r="H117" s="187"/>
      <c r="I117" s="189"/>
      <c r="K117" s="215"/>
      <c r="L117" t="str">
        <f t="shared" ca="1" si="22"/>
        <v>b</v>
      </c>
      <c r="M117" t="str">
        <f>REPT(" ",3-K117)&amp;IF(K117=0," ","")</f>
        <v xml:space="preserve">    </v>
      </c>
      <c r="O117" s="194"/>
      <c r="P117" s="208">
        <f>IF(ISNUMBER(D117),LOOKUP(D117,$AB$5:$AC$7),D117)</f>
        <v>0</v>
      </c>
      <c r="Q117" s="208">
        <f t="shared" si="23"/>
        <v>0</v>
      </c>
      <c r="R117" s="301" t="str">
        <f t="shared" ca="1" si="24"/>
        <v/>
      </c>
      <c r="S117" s="305">
        <f>H117</f>
        <v>0</v>
      </c>
      <c r="T117" s="150"/>
      <c r="U117" s="216">
        <f ca="1">IF(L117="l","",IF(D117+F117&gt;0,SUM(Z117:AA117),-1))</f>
        <v>-1</v>
      </c>
      <c r="V117" s="395"/>
      <c r="W117" s="107"/>
      <c r="Z117" s="114">
        <f>IF(D117&gt;0,0,TRUNC(F117*T117+Y117*X117))</f>
        <v>0</v>
      </c>
      <c r="AA117" t="b">
        <f>IF($D117=1,SUM(Z$13:Z115)-SUM(AA$13:AA115),IF($D117=2,$AA$6,IF($D117=3,TRUNC($AA$6,-3))))</f>
        <v>0</v>
      </c>
      <c r="AB117">
        <f ca="1">IF(OR(AC$8=0,L116="l",D117&gt;0,U117=-1),0,IF(L116="b",-U117,TRUNC(F116*T117)))</f>
        <v>0</v>
      </c>
      <c r="AC117" t="b">
        <f>IF($D117=1,SUM(AB$13:AB115)-SUM(AC$13:AC115),IF($D117=2,$AA$5,IF($D117=3,TRUNC($AA$5,-3))))</f>
        <v>0</v>
      </c>
    </row>
    <row r="118" spans="3:29" ht="15" customHeight="1" x14ac:dyDescent="0.15">
      <c r="C118" s="182"/>
      <c r="D118" s="210"/>
      <c r="E118" s="184"/>
      <c r="F118" s="227"/>
      <c r="G118" s="297" t="str">
        <f ca="1">IF(OR(AC$8=0,L118="b"),"",IF(L118="l",0,"("&amp;FIXED(-F118,K119,0)&amp;M118))</f>
        <v/>
      </c>
      <c r="H118" s="183"/>
      <c r="I118" s="185"/>
      <c r="L118" t="str">
        <f t="shared" ca="1" si="22"/>
        <v>b</v>
      </c>
      <c r="M118" t="str">
        <f>")"&amp;REPT(" ",2-K119)&amp;IF(K119=0," ","")</f>
        <v xml:space="preserve">)   </v>
      </c>
      <c r="O118" s="194"/>
      <c r="P118" s="207">
        <f>D118</f>
        <v>0</v>
      </c>
      <c r="Q118" s="207">
        <f t="shared" si="23"/>
        <v>0</v>
      </c>
      <c r="R118" s="300" t="str">
        <f t="shared" ca="1" si="24"/>
        <v/>
      </c>
      <c r="S118" s="304"/>
      <c r="T118" s="149"/>
      <c r="U118" s="206">
        <f ca="1">IF(OR(AC$8=0,SUM(Z119:AC119)=0),1,IF(L118="l","",SUM(AB119:AC119)))</f>
        <v>1</v>
      </c>
      <c r="V118" s="394"/>
      <c r="W118" s="50"/>
      <c r="Z118"/>
    </row>
    <row r="119" spans="3:29" ht="15" customHeight="1" x14ac:dyDescent="0.15">
      <c r="C119" s="186"/>
      <c r="D119" s="205"/>
      <c r="E119" s="188"/>
      <c r="F119" s="226"/>
      <c r="G119" s="296" t="str">
        <f ca="1">IF(L119="b","",IF(L119="l",0,FIXED(F119,K119,0)&amp;M119))</f>
        <v/>
      </c>
      <c r="H119" s="187"/>
      <c r="I119" s="189"/>
      <c r="K119" s="215"/>
      <c r="L119" t="str">
        <f t="shared" ca="1" si="22"/>
        <v>b</v>
      </c>
      <c r="M119" t="str">
        <f>REPT(" ",3-K119)&amp;IF(K119=0," ","")</f>
        <v xml:space="preserve">    </v>
      </c>
      <c r="O119" s="194"/>
      <c r="P119" s="208">
        <f>IF(ISNUMBER(D119),LOOKUP(D119,$AB$5:$AC$7),D119)</f>
        <v>0</v>
      </c>
      <c r="Q119" s="208">
        <f t="shared" si="23"/>
        <v>0</v>
      </c>
      <c r="R119" s="301" t="str">
        <f t="shared" ca="1" si="24"/>
        <v/>
      </c>
      <c r="S119" s="305">
        <f>H119</f>
        <v>0</v>
      </c>
      <c r="T119" s="150"/>
      <c r="U119" s="216">
        <f ca="1">IF(L119="l","",IF(D119+F119&gt;0,SUM(Z119:AA119),-1))</f>
        <v>-1</v>
      </c>
      <c r="V119" s="395"/>
      <c r="W119" s="107"/>
      <c r="Z119" s="114">
        <f>IF(D119&gt;0,0,TRUNC(F119*T119+Y119*X119))</f>
        <v>0</v>
      </c>
      <c r="AA119" t="b">
        <f>IF($D119=1,SUM(Z$13:Z117)-SUM(AA$13:AA117),IF($D119=2,$AA$6,IF($D119=3,TRUNC($AA$6,-3))))</f>
        <v>0</v>
      </c>
      <c r="AB119">
        <f ca="1">IF(OR(AC$8=0,L118="l",D119&gt;0,U119=-1),0,IF(L118="b",-U119,TRUNC(F118*T119)))</f>
        <v>0</v>
      </c>
      <c r="AC119" t="b">
        <f>IF($D119=1,SUM(AB$13:AB117)-SUM(AC$13:AC117),IF($D119=2,$AA$5,IF($D119=3,TRUNC($AA$5,-3))))</f>
        <v>0</v>
      </c>
    </row>
    <row r="120" spans="3:29" ht="15" customHeight="1" x14ac:dyDescent="0.15">
      <c r="C120" s="182"/>
      <c r="D120" s="210"/>
      <c r="E120" s="184"/>
      <c r="F120" s="227"/>
      <c r="G120" s="297" t="str">
        <f ca="1">IF(OR(AC$8=0,L120="b"),"",IF(L120="l",0,"("&amp;FIXED(-F120,K121,0)&amp;M120))</f>
        <v/>
      </c>
      <c r="H120" s="183"/>
      <c r="I120" s="185"/>
      <c r="L120" t="str">
        <f t="shared" ca="1" si="22"/>
        <v>b</v>
      </c>
      <c r="M120" t="str">
        <f>")"&amp;REPT(" ",2-K121)&amp;IF(K121=0," ","")</f>
        <v xml:space="preserve">)   </v>
      </c>
      <c r="O120" s="194"/>
      <c r="P120" s="207">
        <f>D120</f>
        <v>0</v>
      </c>
      <c r="Q120" s="207">
        <f t="shared" si="23"/>
        <v>0</v>
      </c>
      <c r="R120" s="300" t="str">
        <f t="shared" ca="1" si="24"/>
        <v/>
      </c>
      <c r="S120" s="304"/>
      <c r="T120" s="149"/>
      <c r="U120" s="206">
        <f ca="1">IF(OR(AC$8=0,SUM(Z121:AC121)=0),1,IF(L120="l","",SUM(AB121:AC121)))</f>
        <v>1</v>
      </c>
      <c r="V120" s="394"/>
      <c r="W120" s="50"/>
      <c r="Z120"/>
    </row>
    <row r="121" spans="3:29" ht="15" customHeight="1" x14ac:dyDescent="0.15">
      <c r="C121" s="186"/>
      <c r="D121" s="205"/>
      <c r="E121" s="188"/>
      <c r="F121" s="226"/>
      <c r="G121" s="296" t="str">
        <f ca="1">IF(L121="b","",IF(L121="l",0,FIXED(F121,K121,0)&amp;M121))</f>
        <v/>
      </c>
      <c r="H121" s="187"/>
      <c r="I121" s="189"/>
      <c r="K121" s="215"/>
      <c r="L121" t="str">
        <f t="shared" ca="1" si="22"/>
        <v>b</v>
      </c>
      <c r="M121" t="str">
        <f>REPT(" ",3-K121)&amp;IF(K121=0," ","")</f>
        <v xml:space="preserve">    </v>
      </c>
      <c r="O121" s="194"/>
      <c r="P121" s="208">
        <f>IF(ISNUMBER(D121),LOOKUP(D121,$AB$5:$AC$7),D121)</f>
        <v>0</v>
      </c>
      <c r="Q121" s="208">
        <f t="shared" si="23"/>
        <v>0</v>
      </c>
      <c r="R121" s="301" t="str">
        <f t="shared" ca="1" si="24"/>
        <v/>
      </c>
      <c r="S121" s="305">
        <f>H121</f>
        <v>0</v>
      </c>
      <c r="T121" s="150"/>
      <c r="U121" s="216">
        <f ca="1">IF(L121="l","",IF(D121+F121&gt;0,SUM(Z121:AA121),-1))</f>
        <v>-1</v>
      </c>
      <c r="V121" s="395"/>
      <c r="W121" s="107"/>
      <c r="Z121" s="114">
        <f>IF(D121&gt;0,0,TRUNC(F121*T121+Y121*X121))</f>
        <v>0</v>
      </c>
      <c r="AA121" t="b">
        <f>IF($D121=1,SUM(Z$13:Z119)-SUM(AA$13:AA119),IF($D121=2,$AA$6,IF($D121=3,TRUNC($AA$6,-3))))</f>
        <v>0</v>
      </c>
      <c r="AB121">
        <f ca="1">IF(OR(AC$8=0,L120="l",D121&gt;0,U121=-1),0,IF(L120="b",-U121,TRUNC(F120*T121)))</f>
        <v>0</v>
      </c>
      <c r="AC121" t="b">
        <f>IF($D121=1,SUM(AB$13:AB119)-SUM(AC$13:AC119),IF($D121=2,$AA$5,IF($D121=3,TRUNC($AA$5,-3))))</f>
        <v>0</v>
      </c>
    </row>
    <row r="122" spans="3:29" ht="15" customHeight="1" x14ac:dyDescent="0.15">
      <c r="C122" s="182"/>
      <c r="D122" s="210"/>
      <c r="E122" s="184"/>
      <c r="F122" s="227"/>
      <c r="G122" s="297" t="str">
        <f ca="1">IF(OR(AC$8=0,L122="b"),"",IF(L122="l",0,"("&amp;FIXED(-F122,K123,0)&amp;M122))</f>
        <v/>
      </c>
      <c r="H122" s="183"/>
      <c r="I122" s="185"/>
      <c r="L122" t="str">
        <f t="shared" ca="1" si="22"/>
        <v>b</v>
      </c>
      <c r="M122" t="str">
        <f>")"&amp;REPT(" ",2-K123)&amp;IF(K123=0," ","")</f>
        <v xml:space="preserve">)   </v>
      </c>
      <c r="O122" s="194"/>
      <c r="P122" s="207">
        <f>D122</f>
        <v>0</v>
      </c>
      <c r="Q122" s="207">
        <f t="shared" si="23"/>
        <v>0</v>
      </c>
      <c r="R122" s="300" t="str">
        <f t="shared" ca="1" si="24"/>
        <v/>
      </c>
      <c r="S122" s="304"/>
      <c r="T122" s="149"/>
      <c r="U122" s="206">
        <f ca="1">IF(OR(AC$8=0,SUM(Z123:AC123)=0),1,IF(L122="l","",SUM(AB123:AC123)))</f>
        <v>1</v>
      </c>
      <c r="V122" s="394"/>
      <c r="W122" s="50"/>
      <c r="Z122"/>
    </row>
    <row r="123" spans="3:29" ht="15" customHeight="1" x14ac:dyDescent="0.15">
      <c r="C123" s="186"/>
      <c r="D123" s="205"/>
      <c r="E123" s="188"/>
      <c r="F123" s="226"/>
      <c r="G123" s="296" t="str">
        <f ca="1">IF(L123="b","",IF(L123="l",0,FIXED(F123,K123,0)&amp;M123))</f>
        <v/>
      </c>
      <c r="H123" s="187"/>
      <c r="I123" s="189"/>
      <c r="K123" s="215"/>
      <c r="L123" t="str">
        <f t="shared" ca="1" si="22"/>
        <v>b</v>
      </c>
      <c r="M123" t="str">
        <f>REPT(" ",3-K123)&amp;IF(K123=0," ","")</f>
        <v xml:space="preserve">    </v>
      </c>
      <c r="O123" s="194"/>
      <c r="P123" s="208">
        <f>IF(ISNUMBER(D123),LOOKUP(D123,$AB$5:$AC$7),D123)</f>
        <v>0</v>
      </c>
      <c r="Q123" s="208">
        <f t="shared" si="23"/>
        <v>0</v>
      </c>
      <c r="R123" s="301" t="str">
        <f t="shared" ca="1" si="24"/>
        <v/>
      </c>
      <c r="S123" s="305">
        <f>H123</f>
        <v>0</v>
      </c>
      <c r="T123" s="150"/>
      <c r="U123" s="216">
        <f ca="1">IF(L123="l","",IF(D123+F123&gt;0,SUM(Z123:AA123),-1))</f>
        <v>-1</v>
      </c>
      <c r="V123" s="395"/>
      <c r="W123" s="107"/>
      <c r="Z123" s="114">
        <f>IF(D123&gt;0,0,TRUNC(F123*T123+Y123*X123))</f>
        <v>0</v>
      </c>
      <c r="AA123" t="b">
        <f>IF($D123=1,SUM(Z$13:Z121)-SUM(AA$13:AA121),IF($D123=2,$AA$6,IF($D123=3,TRUNC($AA$6,-3))))</f>
        <v>0</v>
      </c>
      <c r="AB123">
        <f ca="1">IF(OR(AC$8=0,L122="l",D123&gt;0,U123=-1),0,IF(L122="b",-U123,TRUNC(F122*T123)))</f>
        <v>0</v>
      </c>
      <c r="AC123" t="b">
        <f>IF($D123=1,SUM(AB$13:AB121)-SUM(AC$13:AC121),IF($D123=2,$AA$5,IF($D123=3,TRUNC($AA$5,-3))))</f>
        <v>0</v>
      </c>
    </row>
    <row r="124" spans="3:29" ht="15" customHeight="1" x14ac:dyDescent="0.15">
      <c r="C124" s="182"/>
      <c r="D124" s="210"/>
      <c r="E124" s="184"/>
      <c r="F124" s="227"/>
      <c r="G124" s="297" t="str">
        <f ca="1">IF(OR(AC$8=0,L124="b"),"",IF(L124="l",0,"("&amp;FIXED(-F124,K125,0)&amp;M124))</f>
        <v/>
      </c>
      <c r="H124" s="183"/>
      <c r="I124" s="185"/>
      <c r="L124" t="str">
        <f t="shared" ca="1" si="22"/>
        <v>b</v>
      </c>
      <c r="M124" t="str">
        <f>")"&amp;REPT(" ",2-K125)&amp;IF(K125=0," ","")</f>
        <v xml:space="preserve">)   </v>
      </c>
      <c r="O124" s="194"/>
      <c r="P124" s="255">
        <f>D124</f>
        <v>0</v>
      </c>
      <c r="Q124" s="207">
        <f t="shared" si="23"/>
        <v>0</v>
      </c>
      <c r="R124" s="300" t="str">
        <f t="shared" ca="1" si="24"/>
        <v/>
      </c>
      <c r="S124" s="304"/>
      <c r="T124" s="149"/>
      <c r="U124" s="206">
        <f ca="1">IF(OR(AC$8=0,SUM(Z125:AC125)=0),1,IF(L124="l","",SUM(AB125:AC125)))</f>
        <v>1</v>
      </c>
      <c r="V124" s="394"/>
      <c r="W124" s="50"/>
      <c r="Z124"/>
    </row>
    <row r="125" spans="3:29" ht="15" customHeight="1" x14ac:dyDescent="0.15">
      <c r="C125" s="186"/>
      <c r="D125" s="205"/>
      <c r="E125" s="188"/>
      <c r="F125" s="226"/>
      <c r="G125" s="296" t="str">
        <f ca="1">IF(L125="b","",IF(L125="l",0,FIXED(F125,K125,0)&amp;M125))</f>
        <v/>
      </c>
      <c r="H125" s="187"/>
      <c r="I125" s="189"/>
      <c r="K125" s="215"/>
      <c r="L125" t="str">
        <f t="shared" ca="1" si="22"/>
        <v>b</v>
      </c>
      <c r="M125" t="str">
        <f>REPT(" ",3-K125)&amp;IF(K125=0," ","")</f>
        <v xml:space="preserve">    </v>
      </c>
      <c r="O125" s="194"/>
      <c r="P125" s="208">
        <f>IF(ISNUMBER(D125),LOOKUP(D125,$AB$5:$AC$7),D125)</f>
        <v>0</v>
      </c>
      <c r="Q125" s="208">
        <f t="shared" si="23"/>
        <v>0</v>
      </c>
      <c r="R125" s="301" t="str">
        <f t="shared" ca="1" si="24"/>
        <v/>
      </c>
      <c r="S125" s="305">
        <f>H125</f>
        <v>0</v>
      </c>
      <c r="T125" s="478"/>
      <c r="U125" s="216">
        <f ca="1">IF(L125="l","",IF(D125+F125&gt;0,SUM(Z125:AA125),-1))</f>
        <v>-1</v>
      </c>
      <c r="V125" s="395"/>
      <c r="W125" s="107"/>
      <c r="Z125" s="114">
        <f>IF(D125&gt;0,0,TRUNC(F125*T125+Y125*X125))</f>
        <v>0</v>
      </c>
      <c r="AA125" t="b">
        <f>IF($D125=1,SUM(Z$13:Z123)-SUM(AA$13:AA123),IF($D125=2,$AA$6,IF($D125=3,TRUNC($AA$6,-3))))</f>
        <v>0</v>
      </c>
      <c r="AB125">
        <f ca="1">IF(OR(AC$8=0,L124="l",D125&gt;0,U125=-1),0,IF(L124="b",-U125,TRUNC(F124*T125)))</f>
        <v>0</v>
      </c>
      <c r="AC125" t="b">
        <f>IF($D125=1,SUM(AB$13:AB123)-SUM(AC$13:AC123),IF($D125=2,$AA$5,IF($D125=3,TRUNC($AA$5,-3))))</f>
        <v>0</v>
      </c>
    </row>
    <row r="126" spans="3:29" ht="15" customHeight="1" x14ac:dyDescent="0.15">
      <c r="C126" s="182"/>
      <c r="D126" s="210"/>
      <c r="E126" s="184"/>
      <c r="F126" s="227"/>
      <c r="G126" s="297" t="str">
        <f ca="1">IF(OR(AC$8=0,L126="b"),"",IF(L126="l",0,"("&amp;FIXED(-F126,K127,0)&amp;M126))</f>
        <v/>
      </c>
      <c r="H126" s="183"/>
      <c r="I126" s="185"/>
      <c r="L126" t="str">
        <f t="shared" ca="1" si="22"/>
        <v>b</v>
      </c>
      <c r="M126" t="str">
        <f>")"&amp;REPT(" ",2-K127)&amp;IF(K127=0," ","")</f>
        <v xml:space="preserve">)   </v>
      </c>
      <c r="O126" s="194"/>
      <c r="P126" s="207">
        <f>D126</f>
        <v>0</v>
      </c>
      <c r="Q126" s="207">
        <f t="shared" si="23"/>
        <v>0</v>
      </c>
      <c r="R126" s="300" t="str">
        <f t="shared" ca="1" si="24"/>
        <v/>
      </c>
      <c r="S126" s="304"/>
      <c r="T126" s="149"/>
      <c r="U126" s="206">
        <f ca="1">IF(OR(AC$8=0,SUM(Z127:AC127)=0),1,IF(L126="l","",SUM(AB127:AC127)))</f>
        <v>1</v>
      </c>
      <c r="V126" s="394"/>
      <c r="W126" s="50"/>
      <c r="Z126"/>
    </row>
    <row r="127" spans="3:29" ht="15" customHeight="1" x14ac:dyDescent="0.15">
      <c r="C127" s="186"/>
      <c r="D127" s="205"/>
      <c r="E127" s="188"/>
      <c r="F127" s="226"/>
      <c r="G127" s="296" t="str">
        <f ca="1">IF(L127="b","",IF(L127="l",0,FIXED(F127,K127,0)&amp;M127))</f>
        <v/>
      </c>
      <c r="H127" s="187"/>
      <c r="I127" s="189"/>
      <c r="K127" s="215"/>
      <c r="L127" t="str">
        <f t="shared" ca="1" si="22"/>
        <v>b</v>
      </c>
      <c r="M127" t="str">
        <f>REPT(" ",3-K127)&amp;IF(K127=0," ","")</f>
        <v xml:space="preserve">    </v>
      </c>
      <c r="O127" s="194"/>
      <c r="P127" s="208">
        <f>IF(ISNUMBER(D127),LOOKUP(D127,$AB$5:$AC$7),D127)</f>
        <v>0</v>
      </c>
      <c r="Q127" s="208">
        <f t="shared" si="23"/>
        <v>0</v>
      </c>
      <c r="R127" s="301" t="str">
        <f t="shared" ca="1" si="24"/>
        <v/>
      </c>
      <c r="S127" s="305">
        <f>H127</f>
        <v>0</v>
      </c>
      <c r="T127" s="150"/>
      <c r="U127" s="216">
        <f ca="1">IF(L127="l","",IF(D127+F127&gt;0,SUM(Z127:AA127),-1))</f>
        <v>-1</v>
      </c>
      <c r="V127" s="395"/>
      <c r="W127" s="107"/>
      <c r="Z127" s="114">
        <f>IF(D127&gt;0,0,TRUNC(F127*T127+Y127*X127))</f>
        <v>0</v>
      </c>
      <c r="AA127" t="b">
        <f>IF($D127=1,SUM(Z$13:Z125)-SUM(AA$13:AA125),IF($D127=2,$AA$6,IF($D127=3,TRUNC($AA$6,-3))))</f>
        <v>0</v>
      </c>
      <c r="AB127">
        <f ca="1">IF(OR(AC$8=0,L126="l",D127&gt;0,U127=-1),0,IF(L126="b",-U127,TRUNC(F126*T127)))</f>
        <v>0</v>
      </c>
      <c r="AC127" t="b">
        <f>IF($D127=1,SUM(AB$13:AB125)-SUM(AC$13:AC125),IF($D127=2,$AA$5,IF($D127=3,TRUNC($AA$5,-3))))</f>
        <v>0</v>
      </c>
    </row>
    <row r="128" spans="3:29" ht="15" customHeight="1" x14ac:dyDescent="0.15">
      <c r="C128" s="182"/>
      <c r="D128" s="210"/>
      <c r="E128" s="184"/>
      <c r="F128" s="227"/>
      <c r="G128" s="297" t="str">
        <f ca="1">IF(OR(AC$8=0,L128="b"),"",IF(L128="l",0,"("&amp;FIXED(-F128,K129,0)&amp;M128))</f>
        <v/>
      </c>
      <c r="H128" s="183"/>
      <c r="I128" s="185"/>
      <c r="L128" t="str">
        <f ca="1">CELL("type",F128)</f>
        <v>b</v>
      </c>
      <c r="M128" t="str">
        <f>")"&amp;REPT(" ",2-K129)&amp;IF(K129=0," ","")</f>
        <v xml:space="preserve">)   </v>
      </c>
      <c r="O128" s="194"/>
      <c r="P128" s="207">
        <f>D128</f>
        <v>0</v>
      </c>
      <c r="Q128" s="207">
        <f>E128</f>
        <v>0</v>
      </c>
      <c r="R128" s="300" t="str">
        <f ca="1">G128</f>
        <v/>
      </c>
      <c r="S128" s="304"/>
      <c r="T128" s="149"/>
      <c r="U128" s="206">
        <f ca="1">IF(OR(AC$8=0,SUM(Z129:AC129)=0),1,IF(L128="l","",SUM(AB129:AC129)))</f>
        <v>1</v>
      </c>
      <c r="V128" s="394"/>
      <c r="W128" s="50"/>
      <c r="Z128"/>
    </row>
    <row r="129" spans="1:29" ht="15" customHeight="1" x14ac:dyDescent="0.15">
      <c r="C129" s="186"/>
      <c r="D129" s="205"/>
      <c r="E129" s="188"/>
      <c r="F129" s="226"/>
      <c r="G129" s="296" t="str">
        <f ca="1">IF(L129="b","",IF(L129="l",0,FIXED(F129,K129,0)&amp;M129))</f>
        <v/>
      </c>
      <c r="H129" s="187"/>
      <c r="I129" s="189"/>
      <c r="K129" s="215"/>
      <c r="L129" t="str">
        <f ca="1">CELL("type",F129)</f>
        <v>b</v>
      </c>
      <c r="M129" t="str">
        <f>REPT(" ",3-K129)&amp;IF(K129=0," ","")</f>
        <v xml:space="preserve">    </v>
      </c>
      <c r="O129" s="194"/>
      <c r="P129" s="208">
        <f>IF(ISNUMBER(D129),LOOKUP(D129,$AB$5:$AC$7),D129)</f>
        <v>0</v>
      </c>
      <c r="Q129" s="208">
        <f>E129</f>
        <v>0</v>
      </c>
      <c r="R129" s="301" t="str">
        <f ca="1">G129</f>
        <v/>
      </c>
      <c r="S129" s="305">
        <f>H129</f>
        <v>0</v>
      </c>
      <c r="T129" s="150"/>
      <c r="U129" s="216">
        <f ca="1">IF(L129="l","",IF(D129+F129&gt;0,SUM(Z129:AA129),-1))</f>
        <v>-1</v>
      </c>
      <c r="V129" s="395"/>
      <c r="W129" s="107"/>
      <c r="Z129" s="114">
        <f>IF(D129&gt;0,0,TRUNC(F129*T129+Y129*X129))</f>
        <v>0</v>
      </c>
      <c r="AA129" t="b">
        <f>IF($D129=1,SUM(Z$13:Z127)-SUM(AA$13:AA127),IF($D129=2,$AA$6,IF($D129=3,TRUNC($AA$6,-3))))</f>
        <v>0</v>
      </c>
      <c r="AB129">
        <f ca="1">IF(OR(AC$8=0,L128="l",D129&gt;0,U129=-1),0,IF(L128="b",-U129,TRUNC(F128*T129)))</f>
        <v>0</v>
      </c>
      <c r="AC129" t="b">
        <f>IF($D129=1,SUM(AB$13:AB127)-SUM(AC$13:AC127),IF($D129=2,$AA$5,IF($D129=3,TRUNC($AA$5,-3))))</f>
        <v>0</v>
      </c>
    </row>
    <row r="130" spans="1:29" ht="15" customHeight="1" x14ac:dyDescent="0.15">
      <c r="C130" s="182"/>
      <c r="D130" s="210"/>
      <c r="E130" s="184"/>
      <c r="F130" s="227"/>
      <c r="G130" s="297" t="str">
        <f ca="1">IF(OR(AC$8=0,L130="b"),"",IF(L130="l",0,"("&amp;FIXED(-F130,K131,0)&amp;M130))</f>
        <v/>
      </c>
      <c r="H130" s="183"/>
      <c r="I130" s="185"/>
      <c r="L130" t="str">
        <f ca="1">CELL("type",F130)</f>
        <v>b</v>
      </c>
      <c r="M130" t="str">
        <f>")"&amp;REPT(" ",2-K131)&amp;IF(K131=0," ","")</f>
        <v xml:space="preserve">)   </v>
      </c>
      <c r="O130" s="194"/>
      <c r="P130" s="207">
        <f>D130</f>
        <v>0</v>
      </c>
      <c r="Q130" s="207">
        <f>E130</f>
        <v>0</v>
      </c>
      <c r="R130" s="300" t="str">
        <f ca="1">G130</f>
        <v/>
      </c>
      <c r="S130" s="304"/>
      <c r="T130" s="149"/>
      <c r="U130" s="206">
        <f ca="1">IF(OR(AC$8=0,SUM(Z131:AC131)=0),1,IF(L130="l","",SUM(AB131:AC131)))</f>
        <v>1</v>
      </c>
      <c r="V130" s="394"/>
      <c r="W130" s="69"/>
      <c r="Z130"/>
    </row>
    <row r="131" spans="1:29" ht="15" customHeight="1" x14ac:dyDescent="0.15">
      <c r="C131" s="186"/>
      <c r="D131" s="205"/>
      <c r="E131" s="188"/>
      <c r="F131" s="226"/>
      <c r="G131" s="296" t="str">
        <f ca="1">IF(L131="b","",IF(L131="l",0,FIXED(F131,K131,0)&amp;M131))</f>
        <v/>
      </c>
      <c r="H131" s="187"/>
      <c r="I131" s="189"/>
      <c r="K131" s="215"/>
      <c r="L131" t="str">
        <f ca="1">CELL("type",F131)</f>
        <v>b</v>
      </c>
      <c r="M131" t="str">
        <f>REPT(" ",3-K131)&amp;IF(K131=0," ","")</f>
        <v xml:space="preserve">    </v>
      </c>
      <c r="O131" s="194"/>
      <c r="P131" s="208">
        <f>IF(ISNUMBER(D131),LOOKUP(D131,$AB$5:$AC$7),D131)</f>
        <v>0</v>
      </c>
      <c r="Q131" s="208">
        <f>E131</f>
        <v>0</v>
      </c>
      <c r="R131" s="301" t="str">
        <f ca="1">G131</f>
        <v/>
      </c>
      <c r="S131" s="305">
        <f>H131</f>
        <v>0</v>
      </c>
      <c r="T131" s="150"/>
      <c r="U131" s="216">
        <f ca="1">IF(L131="l","",IF(D131+F131&gt;0,SUM(Z131:AA131),-1))</f>
        <v>-1</v>
      </c>
      <c r="V131" s="395"/>
      <c r="W131" s="141"/>
      <c r="Z131" s="114">
        <f>IF(D131&gt;0,0,TRUNC(F131*T131+Y131*X131))</f>
        <v>0</v>
      </c>
      <c r="AA131" t="b">
        <f>IF($D131=1,SUM(Z$13:Z129)-SUM(AA$13:AA129),IF($D131=2,$AA$6,IF($D131=3,TRUNC($AA$6,-3))))</f>
        <v>0</v>
      </c>
      <c r="AB131">
        <f ca="1">IF(OR(AC$8=0,L130="l",D131&gt;0,U131=-1),0,IF(L130="b",-U131,TRUNC(F130*T131)))</f>
        <v>0</v>
      </c>
      <c r="AC131" t="b">
        <f>IF($D131=1,SUM(AB$13:AB129)-SUM(AC$13:AC129),IF($D131=2,$AA$5,IF($D131=3,TRUNC($AA$5,-3))))</f>
        <v>0</v>
      </c>
    </row>
    <row r="132" spans="1:29" ht="15" customHeight="1" x14ac:dyDescent="0.15">
      <c r="C132" s="182"/>
      <c r="D132" s="210"/>
      <c r="E132" s="184"/>
      <c r="F132" s="227"/>
      <c r="G132" s="297" t="str">
        <f ca="1">IF(OR(AC$8=0,L132="b"),"",IF(L132="l",0,"("&amp;FIXED(-F132,K133,0)&amp;M132))</f>
        <v/>
      </c>
      <c r="H132" s="183"/>
      <c r="I132" s="185"/>
      <c r="L132" t="str">
        <f t="shared" ca="1" si="22"/>
        <v>b</v>
      </c>
      <c r="M132" t="str">
        <f>")"&amp;REPT(" ",2-K133)&amp;IF(K133=0," ","")</f>
        <v xml:space="preserve">)   </v>
      </c>
      <c r="O132" s="194"/>
      <c r="P132" s="207">
        <f>D132</f>
        <v>0</v>
      </c>
      <c r="Q132" s="207">
        <f t="shared" si="23"/>
        <v>0</v>
      </c>
      <c r="R132" s="300" t="str">
        <f t="shared" ca="1" si="24"/>
        <v/>
      </c>
      <c r="S132" s="304"/>
      <c r="T132" s="149"/>
      <c r="U132" s="206">
        <f ca="1">IF(OR(AC$8=0,SUM(Z133:AC133)=0),1,IF(L132="l","",SUM(AB133:AC133)))</f>
        <v>1</v>
      </c>
      <c r="V132" s="394"/>
      <c r="W132" s="50"/>
      <c r="Z132"/>
    </row>
    <row r="133" spans="1:29" ht="15" customHeight="1" x14ac:dyDescent="0.15">
      <c r="C133" s="186"/>
      <c r="D133" s="205"/>
      <c r="E133" s="188"/>
      <c r="F133" s="226"/>
      <c r="G133" s="296" t="str">
        <f ca="1">IF(L133="b","",IF(L133="l",0,FIXED(F133,K133,0)&amp;M133))</f>
        <v/>
      </c>
      <c r="H133" s="187"/>
      <c r="I133" s="189"/>
      <c r="K133" s="215"/>
      <c r="L133" t="str">
        <f t="shared" ca="1" si="22"/>
        <v>b</v>
      </c>
      <c r="M133" t="str">
        <f>REPT(" ",3-K133)&amp;IF(K133=0," ","")</f>
        <v xml:space="preserve">    </v>
      </c>
      <c r="O133" s="194"/>
      <c r="P133" s="208">
        <f>IF(ISNUMBER(D133),LOOKUP(D133,$AB$5:$AC$7),D133)</f>
        <v>0</v>
      </c>
      <c r="Q133" s="208">
        <f t="shared" si="23"/>
        <v>0</v>
      </c>
      <c r="R133" s="301" t="str">
        <f t="shared" ca="1" si="24"/>
        <v/>
      </c>
      <c r="S133" s="305">
        <f>H133</f>
        <v>0</v>
      </c>
      <c r="T133" s="150"/>
      <c r="U133" s="216">
        <f ca="1">IF(L133="l","",IF(D133+F133&gt;0,SUM(Z133:AA133),-1))</f>
        <v>-1</v>
      </c>
      <c r="V133" s="395"/>
      <c r="W133" s="107"/>
      <c r="Z133" s="114">
        <f>IF(D133&gt;0,0,TRUNC(F133*T133+Y133*X133))</f>
        <v>0</v>
      </c>
      <c r="AA133" t="b">
        <f>IF($D133=1,SUM(Z$13:Z131)-SUM(AA$13:AA131),IF($D133=2,$AA$6,IF($D133=3,TRUNC($AA$6,-3))))</f>
        <v>0</v>
      </c>
      <c r="AB133">
        <f ca="1">IF(OR(AC$8=0,L132="l",D133&gt;0,U133=-1),0,IF(L132="b",-U133,TRUNC(F132*T133)))</f>
        <v>0</v>
      </c>
      <c r="AC133" t="b">
        <f>IF($D133=1,SUM(AB$13:AB131)-SUM(AC$13:AC131),IF($D133=2,$AA$5,IF($D133=3,TRUNC($AA$5,-3))))</f>
        <v>0</v>
      </c>
    </row>
    <row r="134" spans="1:29" ht="15" customHeight="1" x14ac:dyDescent="0.15">
      <c r="C134" s="182"/>
      <c r="D134" s="210"/>
      <c r="E134" s="184"/>
      <c r="F134" s="227"/>
      <c r="G134" s="297" t="str">
        <f ca="1">IF(OR(AC$8=0,L134="b"),"",IF(L134="l",0,"("&amp;FIXED(-F134,K135,0)&amp;M134))</f>
        <v/>
      </c>
      <c r="H134" s="183"/>
      <c r="I134" s="185"/>
      <c r="L134" t="str">
        <f t="shared" ca="1" si="22"/>
        <v>b</v>
      </c>
      <c r="M134" t="str">
        <f>")"&amp;REPT(" ",2-K135)&amp;IF(K135=0," ","")</f>
        <v xml:space="preserve">)   </v>
      </c>
      <c r="O134" s="194"/>
      <c r="P134" s="207">
        <f>D134</f>
        <v>0</v>
      </c>
      <c r="Q134" s="207">
        <f t="shared" si="23"/>
        <v>0</v>
      </c>
      <c r="R134" s="300" t="str">
        <f t="shared" ca="1" si="24"/>
        <v/>
      </c>
      <c r="S134" s="304"/>
      <c r="T134" s="149"/>
      <c r="U134" s="206">
        <f ca="1">IF(OR(AC$8=0,SUM(Z135:AC135)=0),1,IF(L134="l","",SUM(AB135:AC135)))</f>
        <v>1</v>
      </c>
      <c r="V134" s="394"/>
      <c r="W134" s="50"/>
      <c r="Z134"/>
    </row>
    <row r="135" spans="1:29" ht="15" customHeight="1" x14ac:dyDescent="0.15">
      <c r="C135" s="186"/>
      <c r="D135" s="205"/>
      <c r="E135" s="188"/>
      <c r="F135" s="226"/>
      <c r="G135" s="296" t="str">
        <f ca="1">IF(L135="b","",IF(L135="l",0,FIXED(F135,K135,0)&amp;M135))</f>
        <v/>
      </c>
      <c r="H135" s="187"/>
      <c r="I135" s="189"/>
      <c r="K135" s="215"/>
      <c r="L135" t="str">
        <f t="shared" ca="1" si="22"/>
        <v>b</v>
      </c>
      <c r="M135" t="str">
        <f>REPT(" ",3-K135)&amp;IF(K135=0," ","")</f>
        <v xml:space="preserve">    </v>
      </c>
      <c r="O135" s="194"/>
      <c r="P135" s="208">
        <f>IF(ISNUMBER(D135),LOOKUP(D135,$AB$5:$AC$7),D135)</f>
        <v>0</v>
      </c>
      <c r="Q135" s="208">
        <f t="shared" si="23"/>
        <v>0</v>
      </c>
      <c r="R135" s="301" t="str">
        <f t="shared" ca="1" si="24"/>
        <v/>
      </c>
      <c r="S135" s="305">
        <f>H135</f>
        <v>0</v>
      </c>
      <c r="T135" s="150"/>
      <c r="U135" s="216">
        <f ca="1">IF(L135="l","",IF(D135+F135&gt;0,SUM(Z135:AA135),-1))</f>
        <v>-1</v>
      </c>
      <c r="V135" s="395"/>
      <c r="W135" s="107"/>
      <c r="Z135" s="114">
        <f>IF(D135&gt;0,0,TRUNC(F135*T135+Y135*X135))</f>
        <v>0</v>
      </c>
      <c r="AA135" t="b">
        <f>IF($D135=1,SUM(Z$13:Z133)-SUM(AA$13:AA133),IF($D135=2,$AA$6,IF($D135=3,TRUNC($AA$6,-3))))</f>
        <v>0</v>
      </c>
      <c r="AB135">
        <f ca="1">IF(OR(AC$8=0,L134="l",D135&gt;0,U135=-1),0,IF(L134="b",-U135,TRUNC(F134*T135)))</f>
        <v>0</v>
      </c>
      <c r="AC135" t="b">
        <f>IF($D135=1,SUM(AB$13:AB133)-SUM(AC$13:AC133),IF($D135=2,$AA$5,IF($D135=3,TRUNC($AA$5,-3))))</f>
        <v>0</v>
      </c>
    </row>
    <row r="136" spans="1:29" ht="15" customHeight="1" x14ac:dyDescent="0.15">
      <c r="C136" s="182"/>
      <c r="D136" s="210"/>
      <c r="E136" s="184"/>
      <c r="F136" s="227"/>
      <c r="G136" s="297" t="str">
        <f ca="1">IF(OR(AC$8=0,L136="b"),"",IF(L136="l",0,"("&amp;FIXED(-F136,K137,0)&amp;M136))</f>
        <v/>
      </c>
      <c r="H136" s="183"/>
      <c r="I136" s="185"/>
      <c r="L136" t="str">
        <f t="shared" ca="1" si="22"/>
        <v>b</v>
      </c>
      <c r="M136" t="str">
        <f>")"&amp;REPT(" ",2-K137)&amp;IF(K137=0," ","")</f>
        <v xml:space="preserve">)   </v>
      </c>
      <c r="O136" s="194"/>
      <c r="P136" s="207">
        <f>D136</f>
        <v>0</v>
      </c>
      <c r="Q136" s="207">
        <f t="shared" si="23"/>
        <v>0</v>
      </c>
      <c r="R136" s="300" t="str">
        <f t="shared" ca="1" si="24"/>
        <v/>
      </c>
      <c r="S136" s="304"/>
      <c r="T136" s="149"/>
      <c r="U136" s="206">
        <f ca="1">IF(OR(AC$8=0,SUM(Z137:AC137)=0),1,IF(L136="l","",SUM(AB137:AC137)))</f>
        <v>1</v>
      </c>
      <c r="V136" s="394"/>
      <c r="W136" s="50"/>
      <c r="Z136"/>
    </row>
    <row r="137" spans="1:29" ht="15" customHeight="1" x14ac:dyDescent="0.15">
      <c r="C137" s="186"/>
      <c r="D137" s="205"/>
      <c r="E137" s="188"/>
      <c r="F137" s="226"/>
      <c r="G137" s="296" t="str">
        <f ca="1">IF(L137="b","",IF(L137="l",0,FIXED(F137,K137,0)&amp;M137))</f>
        <v/>
      </c>
      <c r="H137" s="187"/>
      <c r="I137" s="189"/>
      <c r="K137" s="215"/>
      <c r="L137" t="str">
        <f t="shared" ca="1" si="22"/>
        <v>b</v>
      </c>
      <c r="M137" t="str">
        <f>REPT(" ",3-K137)&amp;IF(K137=0," ","")</f>
        <v xml:space="preserve">    </v>
      </c>
      <c r="O137" s="194"/>
      <c r="P137" s="208">
        <f>IF(ISNUMBER(D137),LOOKUP(D137,$AB$5:$AC$7),D137)</f>
        <v>0</v>
      </c>
      <c r="Q137" s="208">
        <f t="shared" si="23"/>
        <v>0</v>
      </c>
      <c r="R137" s="301" t="str">
        <f t="shared" ca="1" si="24"/>
        <v/>
      </c>
      <c r="S137" s="305">
        <f>H137</f>
        <v>0</v>
      </c>
      <c r="T137" s="150"/>
      <c r="U137" s="216">
        <f ca="1">IF(L137="l","",IF(D137+F137&gt;0,SUM(Z137:AA137),-1))</f>
        <v>-1</v>
      </c>
      <c r="V137" s="395"/>
      <c r="W137" s="107"/>
      <c r="Z137" s="114">
        <f>IF(D137&gt;0,0,TRUNC(F137*T137+Y137*X137))</f>
        <v>0</v>
      </c>
      <c r="AA137" t="b">
        <f>IF($D137=1,SUM(Z$13:Z135)-SUM(AA$13:AA135),IF($D137=2,$AA$6,IF($D137=3,TRUNC($AA$6,-3))))</f>
        <v>0</v>
      </c>
      <c r="AB137">
        <f ca="1">IF(OR(AC$8=0,L136="l",D137&gt;0,U137=-1),0,IF(L136="b",-U137,TRUNC(F136*T137)))</f>
        <v>0</v>
      </c>
      <c r="AC137" t="b">
        <f>IF($D137=1,SUM(AB$13:AB135)-SUM(AC$13:AC135),IF($D137=2,$AA$5,IF($D137=3,TRUNC($AA$5,-3))))</f>
        <v>0</v>
      </c>
    </row>
    <row r="138" spans="1:29" ht="15" customHeight="1" x14ac:dyDescent="0.15">
      <c r="C138" s="182"/>
      <c r="D138" s="210"/>
      <c r="E138" s="184"/>
      <c r="F138" s="227"/>
      <c r="G138" s="297" t="str">
        <f ca="1">IF(OR(AC$8=0,L138="b"),"",IF(L138="l",0,"("&amp;FIXED(-F138,K139,0)&amp;M138))</f>
        <v/>
      </c>
      <c r="H138" s="183"/>
      <c r="I138" s="185"/>
      <c r="L138" t="str">
        <f t="shared" ca="1" si="22"/>
        <v>b</v>
      </c>
      <c r="M138" t="str">
        <f>")"&amp;REPT(" ",2-K139)&amp;IF(K139=0," ","")</f>
        <v xml:space="preserve">)   </v>
      </c>
      <c r="O138" s="194"/>
      <c r="P138" s="207">
        <f>D138</f>
        <v>0</v>
      </c>
      <c r="Q138" s="207">
        <f t="shared" si="23"/>
        <v>0</v>
      </c>
      <c r="R138" s="300" t="str">
        <f t="shared" ca="1" si="24"/>
        <v/>
      </c>
      <c r="S138" s="304"/>
      <c r="T138" s="149"/>
      <c r="U138" s="206">
        <f ca="1">IF(OR(AC$8=0,SUM(Z139:AC139)=0),1,IF(L138="l","",SUM(AB139:AC139)))</f>
        <v>1</v>
      </c>
      <c r="V138" s="394"/>
      <c r="W138" s="50"/>
      <c r="Z138"/>
    </row>
    <row r="139" spans="1:29" ht="15" customHeight="1" x14ac:dyDescent="0.15">
      <c r="C139" s="186"/>
      <c r="D139" s="205">
        <v>2</v>
      </c>
      <c r="E139" s="188"/>
      <c r="F139" s="226"/>
      <c r="G139" s="296" t="str">
        <f ca="1">IF(L139="b","",IF(L139="l",0,FIXED(F139,K139,0)&amp;M139))</f>
        <v/>
      </c>
      <c r="H139" s="187"/>
      <c r="I139" s="189"/>
      <c r="K139" s="215"/>
      <c r="L139" t="str">
        <f t="shared" ca="1" si="22"/>
        <v>b</v>
      </c>
      <c r="M139" t="str">
        <f>REPT(" ",3-K139)&amp;IF(K139=0," ","")</f>
        <v xml:space="preserve">    </v>
      </c>
      <c r="O139" s="194"/>
      <c r="P139" s="208" t="str">
        <f>IF(ISNUMBER(D139),LOOKUP(D139,$AB$5:$AC$7),D139)</f>
        <v>合　　　計</v>
      </c>
      <c r="Q139" s="208">
        <f t="shared" si="23"/>
        <v>0</v>
      </c>
      <c r="R139" s="301" t="str">
        <f t="shared" ca="1" si="24"/>
        <v/>
      </c>
      <c r="S139" s="305">
        <f>H139</f>
        <v>0</v>
      </c>
      <c r="T139" s="150"/>
      <c r="U139" s="216">
        <f ca="1">IF(L139="l","",IF(D139+F139&gt;0,SUM(Z139:AA139),-1))</f>
        <v>577922</v>
      </c>
      <c r="V139" s="395"/>
      <c r="W139" s="107"/>
      <c r="Z139" s="114">
        <f>IF(D139&gt;0,0,TRUNC(F139*T139+Y139*X139))</f>
        <v>0</v>
      </c>
      <c r="AA139">
        <f ca="1">IF($D139=1,SUM(Z$13:Z137)-SUM(AA$13:AA137),IF($D139=2,$AA$6,IF($D139=3,TRUNC($AA$6,-3))))</f>
        <v>577922</v>
      </c>
      <c r="AB139">
        <f ca="1">IF(OR(AC$8=0,L138="l",D139&gt;0,U139=-1),0,IF(L138="b",-U139,TRUNC(F138*T139)))</f>
        <v>0</v>
      </c>
      <c r="AC139">
        <f ca="1">IF($D139=1,SUM(AB$13:AB137)-SUM(AC$13:AC137),IF($D139=2,$AA$5,IF($D139=3,TRUNC($AA$5,-3))))</f>
        <v>0</v>
      </c>
    </row>
    <row r="140" spans="1:29" ht="15" customHeight="1" x14ac:dyDescent="0.15">
      <c r="C140" s="182"/>
      <c r="D140" s="210"/>
      <c r="E140" s="184"/>
      <c r="F140" s="227"/>
      <c r="G140" s="297" t="str">
        <f ca="1">IF(OR(AC$8=0,L140="b"),"",IF(L140="l",0,"("&amp;FIXED(-F140,K141,0)&amp;M140))</f>
        <v/>
      </c>
      <c r="H140" s="183"/>
      <c r="I140" s="185"/>
      <c r="L140" t="str">
        <f t="shared" ca="1" si="22"/>
        <v>b</v>
      </c>
      <c r="M140" t="str">
        <f>")"&amp;REPT(" ",2-K141)&amp;IF(K141=0," ","")</f>
        <v xml:space="preserve">)   </v>
      </c>
      <c r="O140" s="194"/>
      <c r="P140" s="207">
        <f>D140</f>
        <v>0</v>
      </c>
      <c r="Q140" s="207">
        <f t="shared" si="23"/>
        <v>0</v>
      </c>
      <c r="R140" s="300" t="str">
        <f t="shared" ca="1" si="24"/>
        <v/>
      </c>
      <c r="S140" s="304"/>
      <c r="T140" s="149"/>
      <c r="U140" s="206">
        <f ca="1">IF(OR(AC$8=0,SUM(Z141:AC141)=0),1,IF(L140="l","",SUM(AB141:AC141)))</f>
        <v>1</v>
      </c>
      <c r="V140" s="394"/>
      <c r="W140" s="50"/>
      <c r="Z140"/>
    </row>
    <row r="141" spans="1:29" ht="15" customHeight="1" x14ac:dyDescent="0.15">
      <c r="C141" s="186"/>
      <c r="D141" s="205">
        <v>3</v>
      </c>
      <c r="E141" s="188"/>
      <c r="F141" s="226"/>
      <c r="G141" s="296" t="str">
        <f ca="1">IF(L141="b","",IF(L141="l",0,FIXED(F141,K141,0)&amp;M141))</f>
        <v/>
      </c>
      <c r="H141" s="187"/>
      <c r="I141" s="189"/>
      <c r="K141" s="215"/>
      <c r="L141" t="str">
        <f t="shared" ca="1" si="22"/>
        <v>b</v>
      </c>
      <c r="M141" t="str">
        <f>REPT(" ",3-K141)&amp;IF(K141=0," ","")</f>
        <v xml:space="preserve">    </v>
      </c>
      <c r="O141" s="194"/>
      <c r="P141" s="208" t="str">
        <f>IF(ISNUMBER(D141),LOOKUP(D141,$AB$5:$AC$7),D141)</f>
        <v>改　　　め</v>
      </c>
      <c r="Q141" s="208">
        <f t="shared" si="23"/>
        <v>0</v>
      </c>
      <c r="R141" s="301" t="str">
        <f t="shared" ca="1" si="24"/>
        <v/>
      </c>
      <c r="S141" s="305">
        <f>H141</f>
        <v>0</v>
      </c>
      <c r="T141" s="150"/>
      <c r="U141" s="216">
        <f ca="1">IF(L141="l","",IF(D141+F141&gt;0,SUM(Z141:AA141),-1))</f>
        <v>577000</v>
      </c>
      <c r="V141" s="395"/>
      <c r="W141" s="107"/>
      <c r="Z141" s="114">
        <f>IF(D141&gt;0,0,TRUNC(F141*T141+Y141*X141))</f>
        <v>0</v>
      </c>
      <c r="AA141">
        <f ca="1">IF($D141=1,SUM(Z$13:Z139)-SUM(AA$13:AA139),IF($D141=2,$AA$6,IF($D141=3,TRUNC($AA$6,-3))))</f>
        <v>577000</v>
      </c>
      <c r="AB141">
        <f ca="1">IF(OR(AC$8=0,L140="l",D141&gt;0,U141=-1),0,IF(L140="b",-U141,TRUNC(F140*T141)))</f>
        <v>0</v>
      </c>
      <c r="AC141">
        <f ca="1">IF($D141=1,SUM(AB$13:AB139)-SUM(AC$13:AC139),IF($D141=2,$AA$5,IF($D141=3,TRUNC($AA$5,-3))))</f>
        <v>0</v>
      </c>
    </row>
    <row r="142" spans="1:29" ht="15" customHeight="1" x14ac:dyDescent="0.15">
      <c r="C142" s="182"/>
      <c r="D142" s="210"/>
      <c r="E142" s="184"/>
      <c r="F142" s="227"/>
      <c r="G142" s="297" t="str">
        <f ca="1">IF(OR(AC$8=0,L142="b"),"",IF(L142="l",0,"("&amp;FIXED(-F142,K143,0)&amp;M142))</f>
        <v/>
      </c>
      <c r="H142" s="183"/>
      <c r="I142" s="185"/>
      <c r="L142" t="str">
        <f t="shared" ca="1" si="22"/>
        <v>b</v>
      </c>
      <c r="M142" t="str">
        <f>")"&amp;REPT(" ",2-K143)&amp;IF(K143=0," ","")</f>
        <v xml:space="preserve">)   </v>
      </c>
      <c r="O142" s="182"/>
      <c r="P142" s="207">
        <f>D142</f>
        <v>0</v>
      </c>
      <c r="Q142" s="207">
        <f t="shared" si="23"/>
        <v>0</v>
      </c>
      <c r="R142" s="300" t="str">
        <f t="shared" ca="1" si="24"/>
        <v/>
      </c>
      <c r="S142" s="304"/>
      <c r="T142" s="149"/>
      <c r="U142" s="206">
        <f ca="1">IF(OR(AC$8=0,SUM(Z143:AC143)=0),1,IF(L142="l","",SUM(AB143:AC143)))</f>
        <v>1</v>
      </c>
      <c r="V142" s="394"/>
      <c r="W142" s="50"/>
      <c r="Z142"/>
    </row>
    <row r="143" spans="1:29" ht="15" customHeight="1" thickBot="1" x14ac:dyDescent="0.2">
      <c r="C143" s="190"/>
      <c r="D143" s="211"/>
      <c r="E143" s="192"/>
      <c r="F143" s="228"/>
      <c r="G143" s="299" t="str">
        <f ca="1">IF(L143="b","",IF(L143="l",0,FIXED(F143,K143,0)&amp;M143))</f>
        <v/>
      </c>
      <c r="H143" s="191"/>
      <c r="I143" s="193"/>
      <c r="K143" s="215"/>
      <c r="L143" t="str">
        <f t="shared" ca="1" si="22"/>
        <v>b</v>
      </c>
      <c r="M143" t="str">
        <f>REPT(" ",3-K143)&amp;IF(K143=0," ","")</f>
        <v xml:space="preserve">    </v>
      </c>
      <c r="O143" s="190"/>
      <c r="P143" s="209">
        <f>IF(ISNUMBER(D143),LOOKUP(D143,$AB$5:$AC$7),D143)</f>
        <v>0</v>
      </c>
      <c r="Q143" s="209">
        <f t="shared" si="23"/>
        <v>0</v>
      </c>
      <c r="R143" s="302" t="str">
        <f t="shared" ca="1" si="24"/>
        <v/>
      </c>
      <c r="S143" s="306">
        <f>H143</f>
        <v>0</v>
      </c>
      <c r="T143" s="151"/>
      <c r="U143" s="217">
        <f ca="1">IF(L143="l","",IF(D143+F143&gt;0,SUM(Z143:AA143),-1))</f>
        <v>-1</v>
      </c>
      <c r="V143" s="396"/>
      <c r="W143" s="55"/>
      <c r="Z143" s="114">
        <f>IF(D143&gt;0,0,TRUNC(F143*T143+Y143*X143))</f>
        <v>0</v>
      </c>
      <c r="AA143" t="b">
        <f>IF($D143=1,SUM(Z$13:Z141)-SUM(AA$13:AA141),IF($D143=2,$AA$6,IF($D143=3,TRUNC($AA$6,-3))))</f>
        <v>0</v>
      </c>
      <c r="AB143">
        <f ca="1">IF(OR(AC$8=0,L142="l",D143&gt;0,U143=-1),0,IF(L142="b",-U143,TRUNC(F142*T143)))</f>
        <v>0</v>
      </c>
      <c r="AC143" t="b">
        <f>IF($D143=1,SUM(AB$13:AB141)-SUM(AC$13:AC141),IF($D143=2,$AA$5,IF($D143=3,TRUNC($AA$5,-3))))</f>
        <v>0</v>
      </c>
    </row>
    <row r="144" spans="1:29" ht="13.5" customHeight="1" thickBot="1" x14ac:dyDescent="0.2">
      <c r="A144" s="257" t="b">
        <f>SUM(F149:F211)&gt;0</f>
        <v>0</v>
      </c>
      <c r="B144" s="257"/>
      <c r="C144" s="257"/>
      <c r="D144" s="257"/>
      <c r="E144" s="257"/>
      <c r="F144" s="257"/>
      <c r="G144" s="100" t="str">
        <f>G74</f>
        <v>電気設備(電灯)</v>
      </c>
      <c r="H144" s="257"/>
      <c r="I144" s="257" t="str">
        <f>"( "&amp;FIXED(SUM(A$8:A144),0)&amp;" ／ "&amp;FIXED(B$8,0)&amp;" )"</f>
        <v>( 2 ／ 2 )</v>
      </c>
      <c r="J144" s="257"/>
      <c r="K144" s="257"/>
      <c r="L144" s="257"/>
      <c r="M144" s="257"/>
      <c r="N144" s="257"/>
      <c r="O144" s="257"/>
      <c r="P144" s="257"/>
      <c r="Q144" s="257"/>
      <c r="R144" s="257"/>
      <c r="S144" s="257"/>
      <c r="T144" s="257"/>
      <c r="U144" s="258" t="str">
        <f>G144</f>
        <v>電気設備(電灯)</v>
      </c>
      <c r="V144" s="390"/>
      <c r="W144" s="257" t="str">
        <f>"( "&amp;FIXED(SUM(A$8:A144),0)&amp;" ／ "&amp;FIXED(B$8,0)&amp;" )"</f>
        <v>( 2 ／ 2 )</v>
      </c>
      <c r="Z144"/>
    </row>
    <row r="145" spans="3:29" ht="13.5" customHeight="1" x14ac:dyDescent="0.15">
      <c r="C145" s="16"/>
      <c r="D145" s="102"/>
      <c r="E145" s="102"/>
      <c r="F145" s="18"/>
      <c r="G145" s="102"/>
      <c r="H145" s="102"/>
      <c r="I145" s="48"/>
      <c r="O145" s="780" t="s">
        <v>258</v>
      </c>
      <c r="P145" s="47"/>
      <c r="Q145" s="47"/>
      <c r="R145" s="102"/>
      <c r="S145" s="47"/>
      <c r="T145" s="109" t="s">
        <v>88</v>
      </c>
      <c r="U145" s="110"/>
      <c r="V145" s="781" t="s">
        <v>257</v>
      </c>
      <c r="W145" s="48"/>
    </row>
    <row r="146" spans="3:29" ht="13.5" customHeight="1" x14ac:dyDescent="0.15">
      <c r="C146" s="24" t="s">
        <v>222</v>
      </c>
      <c r="D146" s="6" t="s">
        <v>223</v>
      </c>
      <c r="E146" s="7" t="s">
        <v>224</v>
      </c>
      <c r="F146" s="25"/>
      <c r="G146" s="6" t="s">
        <v>105</v>
      </c>
      <c r="H146" s="6" t="s">
        <v>92</v>
      </c>
      <c r="I146" s="69" t="s">
        <v>225</v>
      </c>
      <c r="O146" s="752"/>
      <c r="P146" s="6" t="s">
        <v>89</v>
      </c>
      <c r="Q146" s="6" t="s">
        <v>90</v>
      </c>
      <c r="R146" s="7" t="s">
        <v>91</v>
      </c>
      <c r="S146" s="6" t="s">
        <v>92</v>
      </c>
      <c r="T146" s="6" t="s">
        <v>93</v>
      </c>
      <c r="U146" s="6" t="s">
        <v>94</v>
      </c>
      <c r="V146" s="782"/>
      <c r="W146" s="106" t="s">
        <v>226</v>
      </c>
      <c r="Z146"/>
    </row>
    <row r="147" spans="3:29" ht="13.5" customHeight="1" thickBot="1" x14ac:dyDescent="0.2">
      <c r="C147" s="71"/>
      <c r="D147" s="40"/>
      <c r="E147" s="40"/>
      <c r="F147" s="36"/>
      <c r="G147" s="40"/>
      <c r="H147" s="40"/>
      <c r="I147" s="52"/>
      <c r="M147" t="s">
        <v>227</v>
      </c>
      <c r="O147" s="753"/>
      <c r="P147" s="39"/>
      <c r="Q147" s="39"/>
      <c r="R147" s="40"/>
      <c r="S147" s="39"/>
      <c r="T147" s="56" t="s">
        <v>96</v>
      </c>
      <c r="U147" s="56" t="s">
        <v>96</v>
      </c>
      <c r="V147" s="783"/>
      <c r="W147" s="52"/>
    </row>
    <row r="148" spans="3:29" ht="15" customHeight="1" thickTop="1" x14ac:dyDescent="0.15">
      <c r="C148" s="182"/>
      <c r="D148" s="210"/>
      <c r="E148" s="184"/>
      <c r="F148" s="227"/>
      <c r="G148" s="297" t="str">
        <f ca="1">IF(OR(AC$8=0,L148="b"),"",IF(L148="l",0,"("&amp;FIXED(-F148,K149,0)&amp;M148))</f>
        <v/>
      </c>
      <c r="H148" s="183"/>
      <c r="I148" s="185"/>
      <c r="L148" t="str">
        <f ca="1">CELL("type",F148)</f>
        <v>b</v>
      </c>
      <c r="M148" t="str">
        <f>")"&amp;REPT(" ",2-K149)&amp;IF(K149=0," ","")</f>
        <v xml:space="preserve">)   </v>
      </c>
      <c r="O148" s="182"/>
      <c r="P148" s="207">
        <f>D148</f>
        <v>0</v>
      </c>
      <c r="Q148" s="207">
        <f>E148</f>
        <v>0</v>
      </c>
      <c r="R148" s="300" t="str">
        <f ca="1">G148</f>
        <v/>
      </c>
      <c r="S148" s="304"/>
      <c r="T148" s="149"/>
      <c r="U148" s="206">
        <f ca="1">IF(OR(AC$8=0,SUM(Z149:AC149)=0),1,IF(L148="l","",SUM(AB149:AC149)))</f>
        <v>1</v>
      </c>
      <c r="V148" s="394"/>
      <c r="W148" s="50"/>
      <c r="Z148"/>
    </row>
    <row r="149" spans="3:29" ht="15" customHeight="1" x14ac:dyDescent="0.15">
      <c r="C149" s="186"/>
      <c r="D149" s="205"/>
      <c r="E149" s="188"/>
      <c r="F149" s="226"/>
      <c r="G149" s="296" t="str">
        <f ca="1">IF(L149="b","",IF(L149="l",0,FIXED(F149,K149,0)&amp;M149))</f>
        <v/>
      </c>
      <c r="H149" s="187"/>
      <c r="I149" s="189"/>
      <c r="K149" s="215"/>
      <c r="L149" t="str">
        <f ca="1">CELL("type",F149)</f>
        <v>b</v>
      </c>
      <c r="M149" t="str">
        <f>REPT(" ",3-K149)&amp;IF(K149=0," ","")</f>
        <v xml:space="preserve">    </v>
      </c>
      <c r="O149" s="182"/>
      <c r="P149" s="208">
        <f>IF(ISNUMBER(D149),LOOKUP(D149,$AB$5:$AC$7),D149)</f>
        <v>0</v>
      </c>
      <c r="Q149" s="208">
        <f>E149</f>
        <v>0</v>
      </c>
      <c r="R149" s="301" t="str">
        <f ca="1">G149</f>
        <v/>
      </c>
      <c r="S149" s="305">
        <f>H149</f>
        <v>0</v>
      </c>
      <c r="T149" s="150"/>
      <c r="U149" s="216">
        <f ca="1">IF(L149="l","",IF(D149+F149&gt;0,SUM(Z149:AA149),-1))</f>
        <v>-1</v>
      </c>
      <c r="V149" s="395"/>
      <c r="W149" s="107"/>
      <c r="Z149" s="114">
        <f>IF(D149&gt;0,0,TRUNC(F149*T149+Y149*X149))</f>
        <v>0</v>
      </c>
      <c r="AA149" t="b">
        <f>IF($D149=1,SUM(Z$13:Z147)-SUM(AA$13:AA147),IF($D149=2,$AA$6,IF($D149=3,TRUNC($AA$6,-3))))</f>
        <v>0</v>
      </c>
      <c r="AB149">
        <f ca="1">IF(OR(AC$8=0,L148="l",D149&gt;0,U149=-1),0,IF(L148="b",-U149,TRUNC(F148*T149)))</f>
        <v>0</v>
      </c>
      <c r="AC149" t="b">
        <f>IF($D149=1,SUM(AB$13:AB147)-SUM(AC$13:AC147),IF($D149=2,$AA$5,IF($D149=3,TRUNC($AA$5,-3))))</f>
        <v>0</v>
      </c>
    </row>
    <row r="150" spans="3:29" ht="15" customHeight="1" x14ac:dyDescent="0.15">
      <c r="C150" s="182"/>
      <c r="D150" s="210"/>
      <c r="E150" s="184"/>
      <c r="F150" s="227"/>
      <c r="G150" s="297" t="str">
        <f ca="1">IF(OR(AC$8=0,L150="b"),"",IF(L150="l",0,"("&amp;FIXED(-F150,K151,0)&amp;M150))</f>
        <v/>
      </c>
      <c r="H150" s="183"/>
      <c r="I150" s="185"/>
      <c r="L150" t="str">
        <f ca="1">CELL("type",F150)</f>
        <v>b</v>
      </c>
      <c r="M150" t="str">
        <f>")"&amp;REPT(" ",2-K151)&amp;IF(K151=0," ","")</f>
        <v xml:space="preserve">)   </v>
      </c>
      <c r="O150" s="194"/>
      <c r="P150" s="207">
        <f>D150</f>
        <v>0</v>
      </c>
      <c r="Q150" s="207">
        <f>E150</f>
        <v>0</v>
      </c>
      <c r="R150" s="300" t="str">
        <f ca="1">G150</f>
        <v/>
      </c>
      <c r="S150" s="304"/>
      <c r="T150" s="149"/>
      <c r="U150" s="206">
        <f ca="1">IF(OR(AC$8=0,SUM(Z151:AC151)=0),1,IF(L150="l","",SUM(AB151:AC151)))</f>
        <v>1</v>
      </c>
      <c r="V150" s="394"/>
      <c r="W150" s="50"/>
      <c r="Z150"/>
    </row>
    <row r="151" spans="3:29" ht="15" customHeight="1" x14ac:dyDescent="0.15">
      <c r="C151" s="186"/>
      <c r="D151" s="205"/>
      <c r="E151" s="188"/>
      <c r="F151" s="226"/>
      <c r="G151" s="296" t="str">
        <f ca="1">IF(L151="b","",IF(L151="l",0,FIXED(F151,K151,0)&amp;M151))</f>
        <v/>
      </c>
      <c r="H151" s="187"/>
      <c r="I151" s="189"/>
      <c r="K151" s="215"/>
      <c r="L151" t="str">
        <f ca="1">CELL("type",F151)</f>
        <v>b</v>
      </c>
      <c r="M151" t="str">
        <f>REPT(" ",3-K151)&amp;IF(K151=0," ","")</f>
        <v xml:space="preserve">    </v>
      </c>
      <c r="O151" s="194"/>
      <c r="P151" s="208">
        <f>IF(ISNUMBER(D151),LOOKUP(D151,$AB$5:$AC$7),D151)</f>
        <v>0</v>
      </c>
      <c r="Q151" s="208">
        <f>E151</f>
        <v>0</v>
      </c>
      <c r="R151" s="301" t="str">
        <f ca="1">G151</f>
        <v/>
      </c>
      <c r="S151" s="305">
        <f>H151</f>
        <v>0</v>
      </c>
      <c r="T151" s="150"/>
      <c r="U151" s="216">
        <f ca="1">IF(L151="l","",IF(D151+F151&gt;0,SUM(Z151:AA151),-1))</f>
        <v>-1</v>
      </c>
      <c r="V151" s="395"/>
      <c r="W151" s="107"/>
      <c r="Z151" s="114">
        <f>IF(D151&gt;0,0,TRUNC(F151*T151+Y151*X151))</f>
        <v>0</v>
      </c>
      <c r="AA151" t="b">
        <f>IF($D151=1,SUM(Z$13:Z149)-SUM(AA$13:AA149),IF($D151=2,$AA$6,IF($D151=3,TRUNC($AA$6,-3))))</f>
        <v>0</v>
      </c>
      <c r="AB151">
        <f ca="1">IF(OR(AC$8=0,L150="l",D151&gt;0,U151=-1),0,IF(L150="b",-U151,TRUNC(F150*T151)))</f>
        <v>0</v>
      </c>
      <c r="AC151" t="b">
        <f>IF($D151=1,SUM(AB$13:AB149)-SUM(AC$13:AC149),IF($D151=2,$AA$5,IF($D151=3,TRUNC($AA$5,-3))))</f>
        <v>0</v>
      </c>
    </row>
    <row r="152" spans="3:29" ht="15" customHeight="1" x14ac:dyDescent="0.15">
      <c r="C152" s="182"/>
      <c r="D152" s="210"/>
      <c r="E152" s="184"/>
      <c r="F152" s="227"/>
      <c r="G152" s="297" t="str">
        <f ca="1">IF(OR(AC$8=0,L152="b"),"",IF(L152="l",0,"("&amp;FIXED(-F152,K153,0)&amp;M152))</f>
        <v/>
      </c>
      <c r="H152" s="183"/>
      <c r="I152" s="185"/>
      <c r="L152" t="str">
        <f t="shared" ref="L152:L159" ca="1" si="25">CELL("type",F152)</f>
        <v>b</v>
      </c>
      <c r="M152" t="str">
        <f>")"&amp;REPT(" ",2-K153)&amp;IF(K153=0," ","")</f>
        <v xml:space="preserve">)   </v>
      </c>
      <c r="O152" s="194"/>
      <c r="P152" s="207">
        <f>D152</f>
        <v>0</v>
      </c>
      <c r="Q152" s="207">
        <f t="shared" ref="Q152:Q159" si="26">E152</f>
        <v>0</v>
      </c>
      <c r="R152" s="300" t="str">
        <f t="shared" ref="R152:R159" ca="1" si="27">G152</f>
        <v/>
      </c>
      <c r="S152" s="304"/>
      <c r="T152" s="149"/>
      <c r="U152" s="206">
        <f ca="1">IF(OR(AC$8=0,SUM(Z153:AC153)=0),1,IF(L152="l","",SUM(AB153:AC153)))</f>
        <v>1</v>
      </c>
      <c r="V152" s="394"/>
      <c r="W152" s="50"/>
      <c r="Z152"/>
    </row>
    <row r="153" spans="3:29" ht="15" customHeight="1" x14ac:dyDescent="0.15">
      <c r="C153" s="186"/>
      <c r="D153" s="205"/>
      <c r="E153" s="188"/>
      <c r="F153" s="226"/>
      <c r="G153" s="296" t="str">
        <f ca="1">IF(L153="b","",IF(L153="l",0,FIXED(F153,K153,0)&amp;M153))</f>
        <v/>
      </c>
      <c r="H153" s="187"/>
      <c r="I153" s="189"/>
      <c r="K153" s="215"/>
      <c r="L153" t="str">
        <f t="shared" ca="1" si="25"/>
        <v>b</v>
      </c>
      <c r="M153" t="str">
        <f>REPT(" ",3-K153)&amp;IF(K153=0," ","")</f>
        <v xml:space="preserve">    </v>
      </c>
      <c r="O153" s="194"/>
      <c r="P153" s="208">
        <f>IF(ISNUMBER(D153),LOOKUP(D153,$AB$5:$AC$7),D153)</f>
        <v>0</v>
      </c>
      <c r="Q153" s="208">
        <f t="shared" si="26"/>
        <v>0</v>
      </c>
      <c r="R153" s="301" t="str">
        <f t="shared" ca="1" si="27"/>
        <v/>
      </c>
      <c r="S153" s="305">
        <f>H153</f>
        <v>0</v>
      </c>
      <c r="T153" s="150"/>
      <c r="U153" s="216">
        <f ca="1">IF(L153="l","",IF(D153+F153&gt;0,SUM(Z153:AA153),-1))</f>
        <v>-1</v>
      </c>
      <c r="V153" s="395"/>
      <c r="W153" s="107"/>
      <c r="Z153" s="114">
        <f>IF(D153&gt;0,0,TRUNC(F153*T153+Y153*X153))</f>
        <v>0</v>
      </c>
      <c r="AA153" t="b">
        <f>IF($D153=1,SUM(Z$13:Z151)-SUM(AA$13:AA151),IF($D153=2,$AA$6,IF($D153=3,TRUNC($AA$6,-3))))</f>
        <v>0</v>
      </c>
      <c r="AB153">
        <f ca="1">IF(OR(AC$8=0,L152="l",D153&gt;0,U153=-1),0,IF(L152="b",-U153,TRUNC(F152*T153)))</f>
        <v>0</v>
      </c>
      <c r="AC153" t="b">
        <f>IF($D153=1,SUM(AB$13:AB151)-SUM(AC$13:AC151),IF($D153=2,$AA$5,IF($D153=3,TRUNC($AA$5,-3))))</f>
        <v>0</v>
      </c>
    </row>
    <row r="154" spans="3:29" ht="15" customHeight="1" x14ac:dyDescent="0.15">
      <c r="C154" s="182"/>
      <c r="D154" s="210"/>
      <c r="E154" s="184"/>
      <c r="F154" s="227"/>
      <c r="G154" s="297" t="str">
        <f ca="1">IF(OR(AC$8=0,L154="b"),"",IF(L154="l",0,"("&amp;FIXED(-F154,K155,0)&amp;M154))</f>
        <v/>
      </c>
      <c r="H154" s="183"/>
      <c r="I154" s="185"/>
      <c r="L154" t="str">
        <f t="shared" ca="1" si="25"/>
        <v>b</v>
      </c>
      <c r="M154" t="str">
        <f>")"&amp;REPT(" ",2-K155)&amp;IF(K155=0," ","")</f>
        <v xml:space="preserve">)   </v>
      </c>
      <c r="O154" s="194"/>
      <c r="P154" s="207">
        <f>D154</f>
        <v>0</v>
      </c>
      <c r="Q154" s="207">
        <f t="shared" si="26"/>
        <v>0</v>
      </c>
      <c r="R154" s="300" t="str">
        <f t="shared" ca="1" si="27"/>
        <v/>
      </c>
      <c r="S154" s="304"/>
      <c r="T154" s="149"/>
      <c r="U154" s="206">
        <f ca="1">IF(OR(AC$8=0,SUM(Z155:AC155)=0),1,IF(L154="l","",SUM(AB155:AC155)))</f>
        <v>1</v>
      </c>
      <c r="V154" s="394"/>
      <c r="W154" s="50"/>
      <c r="Z154"/>
    </row>
    <row r="155" spans="3:29" ht="15" customHeight="1" x14ac:dyDescent="0.15">
      <c r="C155" s="186"/>
      <c r="D155" s="205"/>
      <c r="E155" s="188"/>
      <c r="F155" s="226"/>
      <c r="G155" s="296" t="str">
        <f ca="1">IF(L155="b","",IF(L155="l",0,FIXED(F155,K155,0)&amp;M155))</f>
        <v/>
      </c>
      <c r="H155" s="187"/>
      <c r="I155" s="189"/>
      <c r="K155" s="215"/>
      <c r="L155" t="str">
        <f t="shared" ca="1" si="25"/>
        <v>b</v>
      </c>
      <c r="M155" t="str">
        <f>REPT(" ",3-K155)&amp;IF(K155=0," ","")</f>
        <v xml:space="preserve">    </v>
      </c>
      <c r="O155" s="194"/>
      <c r="P155" s="208">
        <f>IF(ISNUMBER(D155),LOOKUP(D155,$AB$5:$AC$7),D155)</f>
        <v>0</v>
      </c>
      <c r="Q155" s="208">
        <f t="shared" si="26"/>
        <v>0</v>
      </c>
      <c r="R155" s="301" t="str">
        <f t="shared" ca="1" si="27"/>
        <v/>
      </c>
      <c r="S155" s="305">
        <f>H155</f>
        <v>0</v>
      </c>
      <c r="T155" s="150"/>
      <c r="U155" s="216">
        <f ca="1">IF(L155="l","",IF(D155+F155&gt;0,SUM(Z155:AA155),-1))</f>
        <v>-1</v>
      </c>
      <c r="V155" s="395"/>
      <c r="W155" s="107"/>
      <c r="Z155" s="114">
        <f>IF(D155&gt;0,0,TRUNC(F155*T155+Y155*X155))</f>
        <v>0</v>
      </c>
      <c r="AA155" t="b">
        <f>IF($D155=1,SUM(Z$13:Z153)-SUM(AA$13:AA153),IF($D155=2,$AA$6,IF($D155=3,TRUNC($AA$6,-3))))</f>
        <v>0</v>
      </c>
      <c r="AB155">
        <f ca="1">IF(OR(AC$8=0,L154="l",D155&gt;0,U155=-1),0,IF(L154="b",-U155,TRUNC(F154*T155)))</f>
        <v>0</v>
      </c>
      <c r="AC155" t="b">
        <f>IF($D155=1,SUM(AB$13:AB153)-SUM(AC$13:AC153),IF($D155=2,$AA$5,IF($D155=3,TRUNC($AA$5,-3))))</f>
        <v>0</v>
      </c>
    </row>
    <row r="156" spans="3:29" ht="15" customHeight="1" x14ac:dyDescent="0.15">
      <c r="C156" s="182"/>
      <c r="D156" s="210"/>
      <c r="E156" s="184"/>
      <c r="F156" s="227"/>
      <c r="G156" s="297" t="str">
        <f ca="1">IF(OR(AC$8=0,L156="b"),"",IF(L156="l",0,"("&amp;FIXED(-F156,K157,0)&amp;M156))</f>
        <v/>
      </c>
      <c r="H156" s="183"/>
      <c r="I156" s="185"/>
      <c r="L156" t="str">
        <f t="shared" ca="1" si="25"/>
        <v>b</v>
      </c>
      <c r="M156" t="str">
        <f>")"&amp;REPT(" ",2-K157)&amp;IF(K157=0," ","")</f>
        <v xml:space="preserve">)   </v>
      </c>
      <c r="O156" s="194"/>
      <c r="P156" s="207">
        <f>D156</f>
        <v>0</v>
      </c>
      <c r="Q156" s="207">
        <f t="shared" si="26"/>
        <v>0</v>
      </c>
      <c r="R156" s="300" t="str">
        <f t="shared" ca="1" si="27"/>
        <v/>
      </c>
      <c r="S156" s="304"/>
      <c r="T156" s="149"/>
      <c r="U156" s="206">
        <f ca="1">IF(OR(AC$8=0,SUM(Z157:AC157)=0),1,IF(L156="l","",SUM(AB157:AC157)))</f>
        <v>1</v>
      </c>
      <c r="V156" s="394"/>
      <c r="W156" s="50"/>
      <c r="Z156"/>
    </row>
    <row r="157" spans="3:29" ht="15" customHeight="1" x14ac:dyDescent="0.15">
      <c r="C157" s="186"/>
      <c r="D157" s="205"/>
      <c r="E157" s="188"/>
      <c r="F157" s="226"/>
      <c r="G157" s="296" t="str">
        <f ca="1">IF(L157="b","",IF(L157="l",0,FIXED(F157,K157,0)&amp;M157))</f>
        <v/>
      </c>
      <c r="H157" s="187"/>
      <c r="I157" s="189"/>
      <c r="K157" s="215"/>
      <c r="L157" t="str">
        <f t="shared" ca="1" si="25"/>
        <v>b</v>
      </c>
      <c r="M157" t="str">
        <f>REPT(" ",3-K157)&amp;IF(K157=0," ","")</f>
        <v xml:space="preserve">    </v>
      </c>
      <c r="O157" s="194"/>
      <c r="P157" s="208">
        <f>IF(ISNUMBER(D157),LOOKUP(D157,$AB$5:$AC$7),D157)</f>
        <v>0</v>
      </c>
      <c r="Q157" s="208">
        <f t="shared" si="26"/>
        <v>0</v>
      </c>
      <c r="R157" s="301" t="str">
        <f t="shared" ca="1" si="27"/>
        <v/>
      </c>
      <c r="S157" s="305">
        <f>H157</f>
        <v>0</v>
      </c>
      <c r="T157" s="150"/>
      <c r="U157" s="216">
        <f ca="1">IF(L157="l","",IF(D157+F157&gt;0,SUM(Z157:AA157),-1))</f>
        <v>-1</v>
      </c>
      <c r="V157" s="395"/>
      <c r="W157" s="107"/>
      <c r="Z157" s="114">
        <f>IF(D157&gt;0,0,TRUNC(F157*T157+Y157*X157))</f>
        <v>0</v>
      </c>
      <c r="AA157" t="b">
        <f>IF($D157=1,SUM(Z$13:Z155)-SUM(AA$13:AA155),IF($D157=2,$AA$6,IF($D157=3,TRUNC($AA$6,-3))))</f>
        <v>0</v>
      </c>
      <c r="AB157">
        <f ca="1">IF(OR(AC$8=0,L156="l",D157&gt;0,U157=-1),0,IF(L156="b",-U157,TRUNC(F156*T157)))</f>
        <v>0</v>
      </c>
      <c r="AC157" t="b">
        <f>IF($D157=1,SUM(AB$13:AB155)-SUM(AC$13:AC155),IF($D157=2,$AA$5,IF($D157=3,TRUNC($AA$5,-3))))</f>
        <v>0</v>
      </c>
    </row>
    <row r="158" spans="3:29" ht="15" customHeight="1" x14ac:dyDescent="0.15">
      <c r="C158" s="182"/>
      <c r="D158" s="210"/>
      <c r="E158" s="184"/>
      <c r="F158" s="227"/>
      <c r="G158" s="297" t="str">
        <f ca="1">IF(OR(AC$8=0,L158="b"),"",IF(L158="l",0,"("&amp;FIXED(-F158,K159,0)&amp;M158))</f>
        <v/>
      </c>
      <c r="H158" s="183"/>
      <c r="I158" s="185"/>
      <c r="L158" t="str">
        <f t="shared" ca="1" si="25"/>
        <v>b</v>
      </c>
      <c r="M158" t="str">
        <f>")"&amp;REPT(" ",2-K159)&amp;IF(K159=0," ","")</f>
        <v xml:space="preserve">)   </v>
      </c>
      <c r="O158" s="194"/>
      <c r="P158" s="207">
        <f>D158</f>
        <v>0</v>
      </c>
      <c r="Q158" s="207">
        <f t="shared" si="26"/>
        <v>0</v>
      </c>
      <c r="R158" s="300" t="str">
        <f t="shared" ca="1" si="27"/>
        <v/>
      </c>
      <c r="S158" s="304"/>
      <c r="T158" s="149"/>
      <c r="U158" s="206">
        <f ca="1">IF(OR(AC$8=0,SUM(Z159:AC159)=0),1,IF(L158="l","",SUM(AB159:AC159)))</f>
        <v>1</v>
      </c>
      <c r="V158" s="394"/>
      <c r="W158" s="465"/>
      <c r="Z158"/>
    </row>
    <row r="159" spans="3:29" ht="15" customHeight="1" x14ac:dyDescent="0.15">
      <c r="C159" s="186"/>
      <c r="D159" s="205"/>
      <c r="E159" s="188"/>
      <c r="F159" s="226"/>
      <c r="G159" s="296" t="str">
        <f ca="1">IF(L159="b","",IF(L159="l",0,FIXED(F159,K159,0)&amp;M159))</f>
        <v/>
      </c>
      <c r="H159" s="187"/>
      <c r="I159" s="189"/>
      <c r="K159" s="215"/>
      <c r="L159" t="str">
        <f t="shared" ca="1" si="25"/>
        <v>b</v>
      </c>
      <c r="M159" t="str">
        <f>REPT(" ",3-K159)&amp;IF(K159=0," ","")</f>
        <v xml:space="preserve">    </v>
      </c>
      <c r="O159" s="194"/>
      <c r="P159" s="208">
        <f>IF(ISNUMBER(D159),LOOKUP(D159,$AB$5:$AC$7),D159)</f>
        <v>0</v>
      </c>
      <c r="Q159" s="208">
        <f t="shared" si="26"/>
        <v>0</v>
      </c>
      <c r="R159" s="301" t="str">
        <f t="shared" ca="1" si="27"/>
        <v/>
      </c>
      <c r="S159" s="305">
        <f>H159</f>
        <v>0</v>
      </c>
      <c r="T159" s="150"/>
      <c r="U159" s="216">
        <f ca="1">IF(L159="l","",IF(D159+F159&gt;0,SUM(Z159:AA159),-1))</f>
        <v>-1</v>
      </c>
      <c r="V159" s="395"/>
      <c r="W159" s="466"/>
      <c r="Z159" s="114">
        <f>IF(D159&gt;0,0,TRUNC(F159*T159+Y159*X159))</f>
        <v>0</v>
      </c>
      <c r="AA159" t="b">
        <f>IF($D159=1,SUM(Z$13:Z157)-SUM(AA$13:AA157),IF($D159=2,$AA$6,IF($D159=3,TRUNC($AA$6,-3))))</f>
        <v>0</v>
      </c>
      <c r="AB159">
        <f ca="1">IF(OR(AC$8=0,L158="l",D159&gt;0,U159=-1),0,IF(L158="b",-U159,TRUNC(F158*T159)))</f>
        <v>0</v>
      </c>
      <c r="AC159" t="b">
        <f>IF($D159=1,SUM(AB$13:AB157)-SUM(AC$13:AC157),IF($D159=2,$AA$5,IF($D159=3,TRUNC($AA$5,-3))))</f>
        <v>0</v>
      </c>
    </row>
    <row r="160" spans="3:29" ht="15" customHeight="1" x14ac:dyDescent="0.15">
      <c r="C160" s="182"/>
      <c r="D160" s="210"/>
      <c r="E160" s="184"/>
      <c r="F160" s="227"/>
      <c r="G160" s="297" t="str">
        <f ca="1">IF(OR(AC$8=0,L160="b"),"",IF(L160="l",0,"("&amp;FIXED(-F160,K161,0)&amp;M160))</f>
        <v/>
      </c>
      <c r="H160" s="183"/>
      <c r="I160" s="185"/>
      <c r="L160" t="str">
        <f ca="1">CELL("type",F160)</f>
        <v>b</v>
      </c>
      <c r="M160" t="str">
        <f>")"&amp;REPT(" ",2-K161)&amp;IF(K161=0," ","")</f>
        <v xml:space="preserve">)   </v>
      </c>
      <c r="O160" s="194"/>
      <c r="P160" s="207">
        <f>D160</f>
        <v>0</v>
      </c>
      <c r="Q160" s="207">
        <f>E160</f>
        <v>0</v>
      </c>
      <c r="R160" s="300" t="str">
        <f ca="1">G160</f>
        <v/>
      </c>
      <c r="S160" s="304"/>
      <c r="T160" s="149"/>
      <c r="U160" s="206">
        <f ca="1">IF(OR(AC$8=0,SUM(Z161:AC161)=0),1,IF(L160="l","",SUM(AB161:AC161)))</f>
        <v>1</v>
      </c>
      <c r="V160" s="394"/>
      <c r="W160" s="50"/>
      <c r="Z160"/>
    </row>
    <row r="161" spans="3:29" ht="15" customHeight="1" x14ac:dyDescent="0.15">
      <c r="C161" s="186"/>
      <c r="D161" s="205"/>
      <c r="E161" s="188"/>
      <c r="F161" s="226"/>
      <c r="G161" s="296" t="str">
        <f ca="1">IF(L161="b","",IF(L161="l",0,FIXED(F161,K161,0)&amp;M161))</f>
        <v/>
      </c>
      <c r="H161" s="187"/>
      <c r="I161" s="189"/>
      <c r="K161" s="215"/>
      <c r="L161" t="str">
        <f ca="1">CELL("type",F161)</f>
        <v>b</v>
      </c>
      <c r="M161" t="str">
        <f>REPT(" ",3-K161)&amp;IF(K161=0," ","")</f>
        <v xml:space="preserve">    </v>
      </c>
      <c r="O161" s="194"/>
      <c r="P161" s="208">
        <f>IF(ISNUMBER(D161),LOOKUP(D161,$AB$5:$AC$7),D161)</f>
        <v>0</v>
      </c>
      <c r="Q161" s="208">
        <f>E161</f>
        <v>0</v>
      </c>
      <c r="R161" s="301" t="str">
        <f ca="1">G161</f>
        <v/>
      </c>
      <c r="S161" s="305">
        <f>H161</f>
        <v>0</v>
      </c>
      <c r="T161" s="150"/>
      <c r="U161" s="216">
        <f ca="1">IF(L161="l","",IF(D161+F161&gt;0,SUM(Z161:AA161),-1))</f>
        <v>-1</v>
      </c>
      <c r="V161" s="395"/>
      <c r="W161" s="107"/>
      <c r="Z161" s="114">
        <f>IF(D161&gt;0,0,TRUNC(F161*T161+Y161*X161))</f>
        <v>0</v>
      </c>
      <c r="AA161" t="b">
        <f>IF($D161=1,SUM(Z$13:Z159)-SUM(AA$13:AA159),IF($D161=2,$AA$6,IF($D161=3,TRUNC($AA$6,-3))))</f>
        <v>0</v>
      </c>
      <c r="AB161">
        <f ca="1">IF(OR(AC$8=0,L160="l",D161&gt;0,U161=-1),0,IF(L160="b",-U161,TRUNC(F160*T161)))</f>
        <v>0</v>
      </c>
      <c r="AC161" t="b">
        <f>IF($D161=1,SUM(AB$13:AB159)-SUM(AC$13:AC159),IF($D161=2,$AA$5,IF($D161=3,TRUNC($AA$5,-3))))</f>
        <v>0</v>
      </c>
    </row>
    <row r="162" spans="3:29" ht="15" customHeight="1" x14ac:dyDescent="0.15">
      <c r="C162" s="182"/>
      <c r="D162" s="210"/>
      <c r="E162" s="184"/>
      <c r="F162" s="227"/>
      <c r="G162" s="297" t="str">
        <f ca="1">IF(OR(AC$8=0,L162="b"),"",IF(L162="l",0,"("&amp;FIXED(-F162,K163,0)&amp;M162))</f>
        <v/>
      </c>
      <c r="H162" s="183"/>
      <c r="I162" s="185"/>
      <c r="L162" t="str">
        <f t="shared" ref="L162:L177" ca="1" si="28">CELL("type",F162)</f>
        <v>b</v>
      </c>
      <c r="M162" t="str">
        <f>")"&amp;REPT(" ",2-K163)&amp;IF(K163=0," ","")</f>
        <v xml:space="preserve">)   </v>
      </c>
      <c r="O162" s="194"/>
      <c r="P162" s="207">
        <f>D162</f>
        <v>0</v>
      </c>
      <c r="Q162" s="207">
        <f>E162</f>
        <v>0</v>
      </c>
      <c r="R162" s="300" t="str">
        <f t="shared" ref="R162:R177" ca="1" si="29">G162</f>
        <v/>
      </c>
      <c r="S162" s="304"/>
      <c r="T162" s="149"/>
      <c r="U162" s="206">
        <f ca="1">IF(OR(AC$8=0,SUM(Z163:AC163)=0),1,IF(L162="l","",SUM(AB163:AC163)))</f>
        <v>1</v>
      </c>
      <c r="V162" s="394"/>
      <c r="W162" s="50"/>
      <c r="Z162"/>
    </row>
    <row r="163" spans="3:29" ht="15" customHeight="1" x14ac:dyDescent="0.15">
      <c r="C163" s="186"/>
      <c r="D163" s="205"/>
      <c r="E163" s="188"/>
      <c r="F163" s="226"/>
      <c r="G163" s="296" t="str">
        <f ca="1">IF(L163="b","",IF(L163="l",0,FIXED(F163,K163,0)&amp;M163))</f>
        <v/>
      </c>
      <c r="H163" s="187"/>
      <c r="I163" s="189"/>
      <c r="K163" s="215"/>
      <c r="L163" t="str">
        <f t="shared" ca="1" si="28"/>
        <v>b</v>
      </c>
      <c r="M163" t="str">
        <f>REPT(" ",3-K163)&amp;IF(K163=0," ","")</f>
        <v xml:space="preserve">    </v>
      </c>
      <c r="O163" s="194"/>
      <c r="P163" s="208">
        <f>IF(ISNUMBER(D163),LOOKUP(D163,$AB$5:$AC$7),D163)</f>
        <v>0</v>
      </c>
      <c r="Q163" s="208">
        <f t="shared" ref="Q163:Q177" si="30">E163</f>
        <v>0</v>
      </c>
      <c r="R163" s="301" t="str">
        <f t="shared" ca="1" si="29"/>
        <v/>
      </c>
      <c r="S163" s="305">
        <f>H163</f>
        <v>0</v>
      </c>
      <c r="T163" s="150"/>
      <c r="U163" s="216">
        <f ca="1">IF(L163="l","",IF(D163+F163&gt;0,SUM(Z163:AA163),-1))</f>
        <v>-1</v>
      </c>
      <c r="V163" s="395"/>
      <c r="W163" s="107"/>
      <c r="Z163" s="114">
        <f>IF(D163&gt;0,0,TRUNC(F163*T163+Y163*X163))</f>
        <v>0</v>
      </c>
      <c r="AA163" t="b">
        <f>IF($D163=1,SUM(Z$13:Z161)-SUM(AA$13:AA161),IF($D163=2,$AA$6,IF($D163=3,TRUNC($AA$6,-3))))</f>
        <v>0</v>
      </c>
      <c r="AB163">
        <f ca="1">IF(OR(AC$8=0,L162="l",D163&gt;0,U163=-1),0,IF(L162="b",-U163,TRUNC(F162*T163)))</f>
        <v>0</v>
      </c>
      <c r="AC163" t="b">
        <f>IF($D163=1,SUM(AB$13:AB161)-SUM(AC$13:AC161),IF($D163=2,$AA$5,IF($D163=3,TRUNC($AA$5,-3))))</f>
        <v>0</v>
      </c>
    </row>
    <row r="164" spans="3:29" ht="15" customHeight="1" x14ac:dyDescent="0.15">
      <c r="C164" s="182"/>
      <c r="D164" s="210"/>
      <c r="E164" s="184"/>
      <c r="F164" s="227"/>
      <c r="G164" s="297" t="str">
        <f ca="1">IF(OR(AC$8=0,L164="b"),"",IF(L164="l",0,"("&amp;FIXED(-F164,K165,0)&amp;M164))</f>
        <v/>
      </c>
      <c r="H164" s="183"/>
      <c r="I164" s="185"/>
      <c r="L164" t="str">
        <f t="shared" ca="1" si="28"/>
        <v>b</v>
      </c>
      <c r="M164" t="str">
        <f>")"&amp;REPT(" ",2-K165)&amp;IF(K165=0," ","")</f>
        <v xml:space="preserve">)   </v>
      </c>
      <c r="O164" s="194"/>
      <c r="P164" s="207">
        <f>D164</f>
        <v>0</v>
      </c>
      <c r="Q164" s="207">
        <f t="shared" si="30"/>
        <v>0</v>
      </c>
      <c r="R164" s="300" t="str">
        <f t="shared" ca="1" si="29"/>
        <v/>
      </c>
      <c r="S164" s="304"/>
      <c r="T164" s="149"/>
      <c r="U164" s="206">
        <f ca="1">IF(OR(AC$8=0,SUM(Z165:AC165)=0),1,IF(L164="l","",SUM(AB165:AC165)))</f>
        <v>1</v>
      </c>
      <c r="V164" s="394"/>
      <c r="W164" s="50"/>
      <c r="Z164"/>
    </row>
    <row r="165" spans="3:29" ht="15" customHeight="1" x14ac:dyDescent="0.15">
      <c r="C165" s="186"/>
      <c r="D165" s="205"/>
      <c r="E165" s="188"/>
      <c r="F165" s="226"/>
      <c r="G165" s="296" t="str">
        <f ca="1">IF(L165="b","",IF(L165="l",0,FIXED(F165,K165,0)&amp;M165))</f>
        <v/>
      </c>
      <c r="H165" s="187"/>
      <c r="I165" s="189"/>
      <c r="K165" s="215"/>
      <c r="L165" t="str">
        <f t="shared" ca="1" si="28"/>
        <v>b</v>
      </c>
      <c r="M165" t="str">
        <f>REPT(" ",3-K165)&amp;IF(K165=0," ","")</f>
        <v xml:space="preserve">    </v>
      </c>
      <c r="O165" s="194"/>
      <c r="P165" s="208">
        <f>IF(ISNUMBER(D165),LOOKUP(D165,$AB$5:$AC$7),D165)</f>
        <v>0</v>
      </c>
      <c r="Q165" s="208">
        <f t="shared" si="30"/>
        <v>0</v>
      </c>
      <c r="R165" s="301" t="str">
        <f t="shared" ca="1" si="29"/>
        <v/>
      </c>
      <c r="S165" s="305">
        <f>H165</f>
        <v>0</v>
      </c>
      <c r="T165" s="150"/>
      <c r="U165" s="216">
        <f ca="1">IF(L165="l","",IF(D165+F165&gt;0,SUM(Z165:AA165),-1))</f>
        <v>-1</v>
      </c>
      <c r="V165" s="395"/>
      <c r="W165" s="107"/>
      <c r="Z165" s="114">
        <f>IF(D165&gt;0,0,TRUNC(F165*T165+Y165*X165))</f>
        <v>0</v>
      </c>
      <c r="AA165" t="b">
        <f>IF($D165=1,SUM(Z$13:Z163)-SUM(AA$13:AA163),IF($D165=2,$AA$6,IF($D165=3,TRUNC($AA$6,-3))))</f>
        <v>0</v>
      </c>
      <c r="AB165">
        <f ca="1">IF(OR(AC$8=0,L164="l",D165&gt;0,U165=-1),0,IF(L164="b",-U165,TRUNC(F164*T165)))</f>
        <v>0</v>
      </c>
      <c r="AC165" t="b">
        <f>IF($D165=1,SUM(AB$13:AB163)-SUM(AC$13:AC163),IF($D165=2,$AA$5,IF($D165=3,TRUNC($AA$5,-3))))</f>
        <v>0</v>
      </c>
    </row>
    <row r="166" spans="3:29" ht="15" customHeight="1" x14ac:dyDescent="0.15">
      <c r="C166" s="182"/>
      <c r="D166" s="210"/>
      <c r="E166" s="184"/>
      <c r="F166" s="227"/>
      <c r="G166" s="297" t="str">
        <f ca="1">IF(OR(AC$8=0,L166="b"),"",IF(L166="l",0,"("&amp;FIXED(-F166,K167,0)&amp;M166))</f>
        <v/>
      </c>
      <c r="H166" s="183"/>
      <c r="I166" s="185"/>
      <c r="L166" t="str">
        <f t="shared" ca="1" si="28"/>
        <v>b</v>
      </c>
      <c r="M166" t="str">
        <f>")"&amp;REPT(" ",2-K167)&amp;IF(K167=0," ","")</f>
        <v xml:space="preserve">)   </v>
      </c>
      <c r="O166" s="194"/>
      <c r="P166" s="207">
        <f>D166</f>
        <v>0</v>
      </c>
      <c r="Q166" s="207">
        <f t="shared" si="30"/>
        <v>0</v>
      </c>
      <c r="R166" s="300" t="str">
        <f t="shared" ca="1" si="29"/>
        <v/>
      </c>
      <c r="S166" s="304"/>
      <c r="T166" s="149"/>
      <c r="U166" s="206">
        <f ca="1">IF(OR(AC$8=0,SUM(Z167:AC167)=0),1,IF(L166="l","",SUM(AB167:AC167)))</f>
        <v>1</v>
      </c>
      <c r="V166" s="394"/>
      <c r="W166" s="50"/>
      <c r="Z166"/>
    </row>
    <row r="167" spans="3:29" ht="15" customHeight="1" x14ac:dyDescent="0.15">
      <c r="C167" s="186"/>
      <c r="D167" s="205"/>
      <c r="E167" s="188"/>
      <c r="F167" s="226"/>
      <c r="G167" s="296" t="str">
        <f ca="1">IF(L167="b","",IF(L167="l",0,FIXED(F167,K167,0)&amp;M167))</f>
        <v/>
      </c>
      <c r="H167" s="187"/>
      <c r="I167" s="189"/>
      <c r="K167" s="215"/>
      <c r="L167" t="str">
        <f t="shared" ca="1" si="28"/>
        <v>b</v>
      </c>
      <c r="M167" t="str">
        <f>REPT(" ",3-K167)&amp;IF(K167=0," ","")</f>
        <v xml:space="preserve">    </v>
      </c>
      <c r="O167" s="194"/>
      <c r="P167" s="208">
        <f>IF(ISNUMBER(D167),LOOKUP(D167,$AB$5:$AC$7),D167)</f>
        <v>0</v>
      </c>
      <c r="Q167" s="208">
        <f t="shared" si="30"/>
        <v>0</v>
      </c>
      <c r="R167" s="301" t="str">
        <f t="shared" ca="1" si="29"/>
        <v/>
      </c>
      <c r="S167" s="305">
        <f>H167</f>
        <v>0</v>
      </c>
      <c r="T167" s="150"/>
      <c r="U167" s="216">
        <f ca="1">IF(L167="l","",IF(D167+F167&gt;0,SUM(Z167:AA167),-1))</f>
        <v>-1</v>
      </c>
      <c r="V167" s="395"/>
      <c r="W167" s="107"/>
      <c r="Z167" s="114">
        <f>IF(D167&gt;0,0,TRUNC(F167*T167+Y167*X167))</f>
        <v>0</v>
      </c>
      <c r="AA167" t="b">
        <f>IF($D167=1,SUM(Z$13:Z165)-SUM(AA$13:AA165),IF($D167=2,$AA$6,IF($D167=3,TRUNC($AA$6,-3))))</f>
        <v>0</v>
      </c>
      <c r="AB167">
        <f ca="1">IF(OR(AC$8=0,L166="l",D167&gt;0,U167=-1),0,IF(L166="b",-U167,TRUNC(F166*T167)))</f>
        <v>0</v>
      </c>
      <c r="AC167" t="b">
        <f>IF($D167=1,SUM(AB$13:AB165)-SUM(AC$13:AC165),IF($D167=2,$AA$5,IF($D167=3,TRUNC($AA$5,-3))))</f>
        <v>0</v>
      </c>
    </row>
    <row r="168" spans="3:29" ht="15" customHeight="1" x14ac:dyDescent="0.15">
      <c r="C168" s="182"/>
      <c r="D168" s="210"/>
      <c r="E168" s="184"/>
      <c r="F168" s="227"/>
      <c r="G168" s="297" t="str">
        <f ca="1">IF(OR(AC$8=0,L168="b"),"",IF(L168="l",0,"("&amp;FIXED(-F168,K169,0)&amp;M168))</f>
        <v/>
      </c>
      <c r="H168" s="183"/>
      <c r="I168" s="185"/>
      <c r="L168" t="str">
        <f t="shared" ca="1" si="28"/>
        <v>b</v>
      </c>
      <c r="M168" t="str">
        <f>")"&amp;REPT(" ",2-K169)&amp;IF(K169=0," ","")</f>
        <v xml:space="preserve">)   </v>
      </c>
      <c r="O168" s="194"/>
      <c r="P168" s="207">
        <f>D168</f>
        <v>0</v>
      </c>
      <c r="Q168" s="207">
        <f t="shared" si="30"/>
        <v>0</v>
      </c>
      <c r="R168" s="300" t="str">
        <f t="shared" ca="1" si="29"/>
        <v/>
      </c>
      <c r="S168" s="304"/>
      <c r="T168" s="149"/>
      <c r="U168" s="206">
        <f ca="1">IF(OR(AC$8=0,SUM(Z169:AC169)=0),1,IF(L168="l","",SUM(AB169:AC169)))</f>
        <v>1</v>
      </c>
      <c r="V168" s="394"/>
      <c r="W168" s="50"/>
      <c r="Z168"/>
    </row>
    <row r="169" spans="3:29" ht="15" customHeight="1" x14ac:dyDescent="0.15">
      <c r="C169" s="186"/>
      <c r="D169" s="205"/>
      <c r="E169" s="188"/>
      <c r="F169" s="226"/>
      <c r="G169" s="296" t="str">
        <f ca="1">IF(L169="b","",IF(L169="l",0,FIXED(F169,K169,0)&amp;M169))</f>
        <v/>
      </c>
      <c r="H169" s="187"/>
      <c r="I169" s="189"/>
      <c r="K169" s="215"/>
      <c r="L169" t="str">
        <f t="shared" ca="1" si="28"/>
        <v>b</v>
      </c>
      <c r="M169" t="str">
        <f>REPT(" ",3-K169)&amp;IF(K169=0," ","")</f>
        <v xml:space="preserve">    </v>
      </c>
      <c r="O169" s="194"/>
      <c r="P169" s="208">
        <f>IF(ISNUMBER(D169),LOOKUP(D169,$AB$5:$AC$7),D169)</f>
        <v>0</v>
      </c>
      <c r="Q169" s="208">
        <f t="shared" si="30"/>
        <v>0</v>
      </c>
      <c r="R169" s="301" t="str">
        <f t="shared" ca="1" si="29"/>
        <v/>
      </c>
      <c r="S169" s="305">
        <f>H169</f>
        <v>0</v>
      </c>
      <c r="T169" s="150"/>
      <c r="U169" s="216">
        <f ca="1">IF(L169="l","",IF(D169+F169&gt;0,SUM(Z169:AA169),-1))</f>
        <v>-1</v>
      </c>
      <c r="V169" s="395"/>
      <c r="W169" s="107"/>
      <c r="Z169" s="114">
        <f>IF(D169&gt;0,0,TRUNC(F169*T169+Y169*X169))</f>
        <v>0</v>
      </c>
      <c r="AA169" t="b">
        <f>IF($D169=1,SUM(Z$13:Z167)-SUM(AA$13:AA167),IF($D169=2,$AA$6,IF($D169=3,TRUNC($AA$6,-3))))</f>
        <v>0</v>
      </c>
      <c r="AB169">
        <f ca="1">IF(OR(AC$8=0,L168="l",D169&gt;0,U169=-1),0,IF(L168="b",-U169,TRUNC(F168*T169)))</f>
        <v>0</v>
      </c>
      <c r="AC169" t="b">
        <f>IF($D169=1,SUM(AB$13:AB167)-SUM(AC$13:AC167),IF($D169=2,$AA$5,IF($D169=3,TRUNC($AA$5,-3))))</f>
        <v>0</v>
      </c>
    </row>
    <row r="170" spans="3:29" ht="15" customHeight="1" x14ac:dyDescent="0.15">
      <c r="C170" s="182"/>
      <c r="D170" s="210"/>
      <c r="E170" s="184"/>
      <c r="F170" s="227"/>
      <c r="G170" s="297" t="str">
        <f ca="1">IF(OR(AC$8=0,L170="b"),"",IF(L170="l",0,"("&amp;FIXED(-F170,K171,0)&amp;M170))</f>
        <v/>
      </c>
      <c r="H170" s="183"/>
      <c r="I170" s="185"/>
      <c r="L170" t="str">
        <f t="shared" ca="1" si="28"/>
        <v>b</v>
      </c>
      <c r="M170" t="str">
        <f>")"&amp;REPT(" ",2-K171)&amp;IF(K171=0," ","")</f>
        <v xml:space="preserve">)   </v>
      </c>
      <c r="O170" s="194"/>
      <c r="P170" s="207">
        <f>D170</f>
        <v>0</v>
      </c>
      <c r="Q170" s="207">
        <f t="shared" si="30"/>
        <v>0</v>
      </c>
      <c r="R170" s="300" t="str">
        <f t="shared" ca="1" si="29"/>
        <v/>
      </c>
      <c r="S170" s="304"/>
      <c r="T170" s="149"/>
      <c r="U170" s="206">
        <f ca="1">IF(OR(AC$8=0,SUM(Z171:AC171)=0),1,IF(L170="l","",SUM(AB171:AC171)))</f>
        <v>1</v>
      </c>
      <c r="V170" s="394"/>
      <c r="W170" s="50"/>
      <c r="Z170"/>
    </row>
    <row r="171" spans="3:29" ht="15" customHeight="1" x14ac:dyDescent="0.15">
      <c r="C171" s="186"/>
      <c r="D171" s="205"/>
      <c r="E171" s="188"/>
      <c r="F171" s="226"/>
      <c r="G171" s="296" t="str">
        <f ca="1">IF(L171="b","",IF(L171="l",0,FIXED(F171,K171,0)&amp;M171))</f>
        <v/>
      </c>
      <c r="H171" s="187"/>
      <c r="I171" s="189"/>
      <c r="K171" s="215"/>
      <c r="L171" t="str">
        <f t="shared" ca="1" si="28"/>
        <v>b</v>
      </c>
      <c r="M171" t="str">
        <f>REPT(" ",3-K171)&amp;IF(K171=0," ","")</f>
        <v xml:space="preserve">    </v>
      </c>
      <c r="O171" s="194"/>
      <c r="P171" s="208">
        <f>IF(ISNUMBER(D171),LOOKUP(D171,$AB$5:$AC$7),D171)</f>
        <v>0</v>
      </c>
      <c r="Q171" s="208">
        <f t="shared" si="30"/>
        <v>0</v>
      </c>
      <c r="R171" s="301" t="str">
        <f t="shared" ca="1" si="29"/>
        <v/>
      </c>
      <c r="S171" s="305">
        <f>H171</f>
        <v>0</v>
      </c>
      <c r="T171" s="150"/>
      <c r="U171" s="216">
        <f ca="1">IF(L171="l","",IF(D171+F171&gt;0,SUM(Z171:AA171),-1))</f>
        <v>-1</v>
      </c>
      <c r="V171" s="395"/>
      <c r="W171" s="107"/>
      <c r="Z171" s="114">
        <f>IF(D171&gt;0,0,TRUNC(F171*T171+Y171*X171))</f>
        <v>0</v>
      </c>
      <c r="AA171" t="b">
        <f>IF($D171=1,SUM(Z$13:Z169)-SUM(AA$13:AA169),IF($D171=2,$AA$6,IF($D171=3,TRUNC($AA$6,-3))))</f>
        <v>0</v>
      </c>
      <c r="AB171">
        <f ca="1">IF(OR(AC$8=0,L170="l",D171&gt;0,U171=-1),0,IF(L170="b",-U171,TRUNC(F170*T171)))</f>
        <v>0</v>
      </c>
      <c r="AC171" t="b">
        <f>IF($D171=1,SUM(AB$13:AB169)-SUM(AC$13:AC169),IF($D171=2,$AA$5,IF($D171=3,TRUNC($AA$5,-3))))</f>
        <v>0</v>
      </c>
    </row>
    <row r="172" spans="3:29" ht="15" customHeight="1" x14ac:dyDescent="0.15">
      <c r="C172" s="182"/>
      <c r="D172" s="210"/>
      <c r="E172" s="184"/>
      <c r="F172" s="227"/>
      <c r="G172" s="297" t="str">
        <f ca="1">IF(OR(AC$8=0,L172="b"),"",IF(L172="l",0,"("&amp;FIXED(-F172,K173,0)&amp;M172))</f>
        <v/>
      </c>
      <c r="H172" s="183"/>
      <c r="I172" s="185"/>
      <c r="L172" t="str">
        <f t="shared" ca="1" si="28"/>
        <v>b</v>
      </c>
      <c r="M172" t="str">
        <f>")"&amp;REPT(" ",2-K173)&amp;IF(K173=0," ","")</f>
        <v xml:space="preserve">)   </v>
      </c>
      <c r="O172" s="194"/>
      <c r="P172" s="207">
        <f>D172</f>
        <v>0</v>
      </c>
      <c r="Q172" s="207">
        <f t="shared" si="30"/>
        <v>0</v>
      </c>
      <c r="R172" s="300" t="str">
        <f t="shared" ca="1" si="29"/>
        <v/>
      </c>
      <c r="S172" s="304"/>
      <c r="T172" s="149"/>
      <c r="U172" s="206">
        <f ca="1">IF(OR(AC$8=0,SUM(Z173:AC173)=0),1,IF(L172="l","",SUM(AB173:AC173)))</f>
        <v>1</v>
      </c>
      <c r="V172" s="394"/>
      <c r="W172" s="50"/>
      <c r="Z172"/>
    </row>
    <row r="173" spans="3:29" ht="15" customHeight="1" x14ac:dyDescent="0.15">
      <c r="C173" s="186"/>
      <c r="D173" s="205"/>
      <c r="E173" s="188"/>
      <c r="F173" s="226"/>
      <c r="G173" s="296" t="str">
        <f ca="1">IF(L173="b","",IF(L173="l",0,FIXED(F173,K173,0)&amp;M173))</f>
        <v/>
      </c>
      <c r="H173" s="187"/>
      <c r="I173" s="189"/>
      <c r="K173" s="215"/>
      <c r="L173" t="str">
        <f t="shared" ca="1" si="28"/>
        <v>b</v>
      </c>
      <c r="M173" t="str">
        <f>REPT(" ",3-K173)&amp;IF(K173=0," ","")</f>
        <v xml:space="preserve">    </v>
      </c>
      <c r="O173" s="194"/>
      <c r="P173" s="208">
        <f>IF(ISNUMBER(D173),LOOKUP(D173,$AB$5:$AC$7),D173)</f>
        <v>0</v>
      </c>
      <c r="Q173" s="208">
        <f t="shared" si="30"/>
        <v>0</v>
      </c>
      <c r="R173" s="301" t="str">
        <f t="shared" ca="1" si="29"/>
        <v/>
      </c>
      <c r="S173" s="305">
        <f>H173</f>
        <v>0</v>
      </c>
      <c r="T173" s="150"/>
      <c r="U173" s="216">
        <f ca="1">IF(L173="l","",IF(D173+F173&gt;0,SUM(Z173:AA173),-1))</f>
        <v>-1</v>
      </c>
      <c r="V173" s="395"/>
      <c r="W173" s="107"/>
      <c r="Z173" s="114">
        <f>IF(D173&gt;0,0,TRUNC(F173*T173+Y173*X173))</f>
        <v>0</v>
      </c>
      <c r="AA173" t="b">
        <f>IF($D173=1,SUM(Z$13:Z171)-SUM(AA$13:AA171),IF($D173=2,$AA$6,IF($D173=3,TRUNC($AA$6,-3))))</f>
        <v>0</v>
      </c>
      <c r="AB173">
        <f ca="1">IF(OR(AC$8=0,L172="l",D173&gt;0,U173=-1),0,IF(L172="b",-U173,TRUNC(F172*T173)))</f>
        <v>0</v>
      </c>
      <c r="AC173" t="b">
        <f>IF($D173=1,SUM(AB$13:AB171)-SUM(AC$13:AC171),IF($D173=2,$AA$5,IF($D173=3,TRUNC($AA$5,-3))))</f>
        <v>0</v>
      </c>
    </row>
    <row r="174" spans="3:29" ht="15" customHeight="1" x14ac:dyDescent="0.15">
      <c r="C174" s="182"/>
      <c r="D174" s="210"/>
      <c r="E174" s="184"/>
      <c r="F174" s="227"/>
      <c r="G174" s="297" t="str">
        <f ca="1">IF(OR(AC$8=0,L174="b"),"",IF(L174="l",0,"("&amp;FIXED(-F174,K175,0)&amp;M174))</f>
        <v/>
      </c>
      <c r="H174" s="183"/>
      <c r="I174" s="185"/>
      <c r="L174" t="str">
        <f t="shared" ca="1" si="28"/>
        <v>b</v>
      </c>
      <c r="M174" t="str">
        <f>")"&amp;REPT(" ",2-K175)&amp;IF(K175=0," ","")</f>
        <v xml:space="preserve">)   </v>
      </c>
      <c r="O174" s="194"/>
      <c r="P174" s="207">
        <f>D174</f>
        <v>0</v>
      </c>
      <c r="Q174" s="207">
        <f t="shared" si="30"/>
        <v>0</v>
      </c>
      <c r="R174" s="300" t="str">
        <f t="shared" ca="1" si="29"/>
        <v/>
      </c>
      <c r="S174" s="304"/>
      <c r="T174" s="149"/>
      <c r="U174" s="206">
        <f ca="1">IF(OR(AC$8=0,SUM(Z175:AC175)=0),1,IF(L174="l","",SUM(AB175:AC175)))</f>
        <v>1</v>
      </c>
      <c r="V174" s="394"/>
      <c r="W174" s="50"/>
      <c r="Z174"/>
    </row>
    <row r="175" spans="3:29" ht="15" customHeight="1" x14ac:dyDescent="0.15">
      <c r="C175" s="186"/>
      <c r="D175" s="205"/>
      <c r="E175" s="188"/>
      <c r="F175" s="226"/>
      <c r="G175" s="296" t="str">
        <f ca="1">IF(L175="b","",IF(L175="l",0,FIXED(F175,K175,0)&amp;M175))</f>
        <v/>
      </c>
      <c r="H175" s="187"/>
      <c r="I175" s="189"/>
      <c r="K175" s="215"/>
      <c r="L175" t="str">
        <f t="shared" ca="1" si="28"/>
        <v>b</v>
      </c>
      <c r="M175" t="str">
        <f>REPT(" ",3-K175)&amp;IF(K175=0," ","")</f>
        <v xml:space="preserve">    </v>
      </c>
      <c r="O175" s="194"/>
      <c r="P175" s="208">
        <f>IF(ISNUMBER(D175),LOOKUP(D175,$AB$5:$AC$7),D175)</f>
        <v>0</v>
      </c>
      <c r="Q175" s="208">
        <f t="shared" si="30"/>
        <v>0</v>
      </c>
      <c r="R175" s="301" t="str">
        <f t="shared" ca="1" si="29"/>
        <v/>
      </c>
      <c r="S175" s="305">
        <f>H175</f>
        <v>0</v>
      </c>
      <c r="T175" s="150"/>
      <c r="U175" s="216">
        <f ca="1">IF(L175="l","",IF(D175+F175&gt;0,SUM(Z175:AA175),-1))</f>
        <v>-1</v>
      </c>
      <c r="V175" s="395"/>
      <c r="W175" s="107"/>
      <c r="Z175" s="114">
        <f>IF(D175&gt;0,0,TRUNC(F175*T175+Y175*X175))</f>
        <v>0</v>
      </c>
      <c r="AA175" t="b">
        <f>IF($D175=1,SUM(Z$13:Z173)-SUM(AA$13:AA173),IF($D175=2,$AA$6,IF($D175=3,TRUNC($AA$6,-3))))</f>
        <v>0</v>
      </c>
      <c r="AB175">
        <f ca="1">IF(OR(AC$8=0,L174="l",D175&gt;0,U175=-1),0,IF(L174="b",-U175,TRUNC(F174*T175)))</f>
        <v>0</v>
      </c>
      <c r="AC175" t="b">
        <f>IF($D175=1,SUM(AB$13:AB173)-SUM(AC$13:AC173),IF($D175=2,$AA$5,IF($D175=3,TRUNC($AA$5,-3))))</f>
        <v>0</v>
      </c>
    </row>
    <row r="176" spans="3:29" ht="15" customHeight="1" x14ac:dyDescent="0.15">
      <c r="C176" s="182"/>
      <c r="D176" s="210"/>
      <c r="E176" s="184"/>
      <c r="F176" s="227"/>
      <c r="G176" s="297" t="str">
        <f ca="1">IF(OR(AC$8=0,L176="b"),"",IF(L176="l",0,"("&amp;FIXED(-F176,K177,0)&amp;M176))</f>
        <v/>
      </c>
      <c r="H176" s="183"/>
      <c r="I176" s="185"/>
      <c r="L176" t="str">
        <f t="shared" ca="1" si="28"/>
        <v>b</v>
      </c>
      <c r="M176" t="str">
        <f>")"&amp;REPT(" ",2-K177)&amp;IF(K177=0," ","")</f>
        <v xml:space="preserve">)   </v>
      </c>
      <c r="O176" s="194"/>
      <c r="P176" s="207">
        <f>D176</f>
        <v>0</v>
      </c>
      <c r="Q176" s="207">
        <f t="shared" si="30"/>
        <v>0</v>
      </c>
      <c r="R176" s="300" t="str">
        <f t="shared" ca="1" si="29"/>
        <v/>
      </c>
      <c r="S176" s="304"/>
      <c r="T176" s="149"/>
      <c r="U176" s="206">
        <f ca="1">IF(OR(AC$8=0,SUM(Z177:AC177)=0),1,IF(L176="l","",SUM(AB177:AC177)))</f>
        <v>1</v>
      </c>
      <c r="V176" s="394"/>
      <c r="W176" s="465"/>
      <c r="Z176"/>
    </row>
    <row r="177" spans="3:29" ht="15" customHeight="1" x14ac:dyDescent="0.15">
      <c r="C177" s="186"/>
      <c r="D177" s="205"/>
      <c r="E177" s="188"/>
      <c r="F177" s="226"/>
      <c r="G177" s="296" t="str">
        <f ca="1">IF(L177="b","",IF(L177="l",0,FIXED(F177,K177,0)&amp;M177))</f>
        <v/>
      </c>
      <c r="H177" s="187"/>
      <c r="I177" s="189"/>
      <c r="K177" s="215"/>
      <c r="L177" t="str">
        <f t="shared" ca="1" si="28"/>
        <v>b</v>
      </c>
      <c r="M177" t="str">
        <f>REPT(" ",3-K177)&amp;IF(K177=0," ","")</f>
        <v xml:space="preserve">    </v>
      </c>
      <c r="O177" s="194"/>
      <c r="P177" s="208">
        <f>IF(ISNUMBER(D177),LOOKUP(D177,$AB$5:$AC$7),D177)</f>
        <v>0</v>
      </c>
      <c r="Q177" s="208">
        <f t="shared" si="30"/>
        <v>0</v>
      </c>
      <c r="R177" s="301" t="str">
        <f t="shared" ca="1" si="29"/>
        <v/>
      </c>
      <c r="S177" s="305">
        <f>H177</f>
        <v>0</v>
      </c>
      <c r="T177" s="150"/>
      <c r="U177" s="216">
        <f ca="1">IF(L177="l","",IF(D177+F177&gt;0,SUM(Z177:AA177),-1))</f>
        <v>-1</v>
      </c>
      <c r="V177" s="395"/>
      <c r="W177" s="466"/>
      <c r="Z177" s="114">
        <f>IF(D177&gt;0,0,TRUNC(F177*T177+Y177*X177))</f>
        <v>0</v>
      </c>
      <c r="AA177" t="b">
        <f>IF($D177=1,SUM(Z$13:Z175)-SUM(AA$13:AA175),IF($D177=2,$AA$6,IF($D177=3,TRUNC($AA$6,-3))))</f>
        <v>0</v>
      </c>
      <c r="AB177">
        <f ca="1">IF(OR(AC$8=0,L176="l",D177&gt;0,U177=-1),0,IF(L176="b",-U177,TRUNC(F176*T177)))</f>
        <v>0</v>
      </c>
      <c r="AC177" t="b">
        <f>IF($D177=1,SUM(AB$13:AB175)-SUM(AC$13:AC175),IF($D177=2,$AA$5,IF($D177=3,TRUNC($AA$5,-3))))</f>
        <v>0</v>
      </c>
    </row>
    <row r="178" spans="3:29" ht="15" customHeight="1" x14ac:dyDescent="0.15">
      <c r="C178" s="182"/>
      <c r="D178" s="210"/>
      <c r="E178" s="184"/>
      <c r="F178" s="227"/>
      <c r="G178" s="297" t="str">
        <f ca="1">IF(OR(AC$8=0,L178="b"),"",IF(L178="l",0,"("&amp;FIXED(-F178,K179,0)&amp;M178))</f>
        <v/>
      </c>
      <c r="H178" s="183"/>
      <c r="I178" s="185"/>
      <c r="L178" t="str">
        <f ca="1">CELL("type",F178)</f>
        <v>b</v>
      </c>
      <c r="M178" t="str">
        <f>")"&amp;REPT(" ",2-K179)&amp;IF(K179=0," ","")</f>
        <v xml:space="preserve">)   </v>
      </c>
      <c r="O178" s="194"/>
      <c r="P178" s="207">
        <f>D178</f>
        <v>0</v>
      </c>
      <c r="Q178" s="207">
        <f>E178</f>
        <v>0</v>
      </c>
      <c r="R178" s="300" t="str">
        <f ca="1">G178</f>
        <v/>
      </c>
      <c r="S178" s="304"/>
      <c r="T178" s="149"/>
      <c r="U178" s="206">
        <f ca="1">IF(OR(AC$8=0,SUM(Z179:AC179)=0),1,IF(L178="l","",SUM(AB179:AC179)))</f>
        <v>1</v>
      </c>
      <c r="V178" s="394"/>
      <c r="W178" s="50"/>
      <c r="Z178"/>
    </row>
    <row r="179" spans="3:29" ht="15" customHeight="1" x14ac:dyDescent="0.15">
      <c r="C179" s="186"/>
      <c r="D179" s="205"/>
      <c r="E179" s="188"/>
      <c r="F179" s="226"/>
      <c r="G179" s="296" t="str">
        <f ca="1">IF(L179="b","",IF(L179="l",0,FIXED(F179,K179,0)&amp;M179))</f>
        <v/>
      </c>
      <c r="H179" s="187"/>
      <c r="I179" s="189"/>
      <c r="K179" s="215"/>
      <c r="L179" t="str">
        <f ca="1">CELL("type",F179)</f>
        <v>b</v>
      </c>
      <c r="M179" t="str">
        <f>REPT(" ",3-K179)&amp;IF(K179=0," ","")</f>
        <v xml:space="preserve">    </v>
      </c>
      <c r="O179" s="194"/>
      <c r="P179" s="208">
        <f>IF(ISNUMBER(D179),LOOKUP(D179,$AB$5:$AC$7),D179)</f>
        <v>0</v>
      </c>
      <c r="Q179" s="208">
        <f>E179</f>
        <v>0</v>
      </c>
      <c r="R179" s="301" t="str">
        <f ca="1">G179</f>
        <v/>
      </c>
      <c r="S179" s="305">
        <f>H179</f>
        <v>0</v>
      </c>
      <c r="T179" s="150"/>
      <c r="U179" s="216">
        <f ca="1">IF(L179="l","",IF(D179+F179&gt;0,SUM(Z179:AA179),-1))</f>
        <v>-1</v>
      </c>
      <c r="V179" s="395"/>
      <c r="W179" s="107"/>
      <c r="Z179" s="114">
        <f>IF(D179&gt;0,0,TRUNC(F179*T179+Y179*X179))</f>
        <v>0</v>
      </c>
      <c r="AA179" t="b">
        <f>IF($D179=1,SUM(Z$13:Z177)-SUM(AA$13:AA177),IF($D179=2,$AA$6,IF($D179=3,TRUNC($AA$6,-3))))</f>
        <v>0</v>
      </c>
      <c r="AB179">
        <f ca="1">IF(OR(AC$8=0,L178="l",D179&gt;0,U179=-1),0,IF(L178="b",-U179,TRUNC(F178*T179)))</f>
        <v>0</v>
      </c>
      <c r="AC179" t="b">
        <f>IF($D179=1,SUM(AB$13:AB177)-SUM(AC$13:AC177),IF($D179=2,$AA$5,IF($D179=3,TRUNC($AA$5,-3))))</f>
        <v>0</v>
      </c>
    </row>
    <row r="180" spans="3:29" ht="15" customHeight="1" x14ac:dyDescent="0.15">
      <c r="C180" s="182"/>
      <c r="D180" s="210"/>
      <c r="E180" s="184"/>
      <c r="F180" s="227"/>
      <c r="G180" s="297" t="str">
        <f ca="1">IF(OR(AC$8=0,L180="b"),"",IF(L180="l",0,"("&amp;FIXED(-F180,K181,0)&amp;M180))</f>
        <v/>
      </c>
      <c r="H180" s="183"/>
      <c r="I180" s="185"/>
      <c r="L180" t="str">
        <f t="shared" ref="L180:L213" ca="1" si="31">CELL("type",F180)</f>
        <v>b</v>
      </c>
      <c r="M180" t="str">
        <f>")"&amp;REPT(" ",2-K181)&amp;IF(K181=0," ","")</f>
        <v xml:space="preserve">)   </v>
      </c>
      <c r="O180" s="194"/>
      <c r="P180" s="207">
        <f>D180</f>
        <v>0</v>
      </c>
      <c r="Q180" s="207">
        <f>E180</f>
        <v>0</v>
      </c>
      <c r="R180" s="300" t="str">
        <f t="shared" ref="R180:R213" ca="1" si="32">G180</f>
        <v/>
      </c>
      <c r="S180" s="304"/>
      <c r="T180" s="149"/>
      <c r="U180" s="206">
        <f ca="1">IF(OR(AC$8=0,SUM(Z181:AC181)=0),1,IF(L180="l","",SUM(AB181:AC181)))</f>
        <v>1</v>
      </c>
      <c r="V180" s="394"/>
      <c r="W180" s="50"/>
      <c r="Z180"/>
    </row>
    <row r="181" spans="3:29" ht="15" customHeight="1" x14ac:dyDescent="0.15">
      <c r="C181" s="186"/>
      <c r="D181" s="205"/>
      <c r="E181" s="188"/>
      <c r="F181" s="226"/>
      <c r="G181" s="296" t="str">
        <f ca="1">IF(L181="b","",IF(L181="l",0,FIXED(F181,K181,0)&amp;M181))</f>
        <v/>
      </c>
      <c r="H181" s="187"/>
      <c r="I181" s="189"/>
      <c r="K181" s="215"/>
      <c r="L181" t="str">
        <f t="shared" ca="1" si="31"/>
        <v>b</v>
      </c>
      <c r="M181" t="str">
        <f>REPT(" ",3-K181)&amp;IF(K181=0," ","")</f>
        <v xml:space="preserve">    </v>
      </c>
      <c r="O181" s="194"/>
      <c r="P181" s="208">
        <f>IF(ISNUMBER(D181),LOOKUP(D181,$AB$5:$AC$7),D181)</f>
        <v>0</v>
      </c>
      <c r="Q181" s="208">
        <f t="shared" ref="Q181:Q213" si="33">E181</f>
        <v>0</v>
      </c>
      <c r="R181" s="301" t="str">
        <f t="shared" ca="1" si="32"/>
        <v/>
      </c>
      <c r="S181" s="305">
        <f>H181</f>
        <v>0</v>
      </c>
      <c r="T181" s="150"/>
      <c r="U181" s="216">
        <f ca="1">IF(L181="l","",IF(D181+F181&gt;0,SUM(Z181:AA181),-1))</f>
        <v>-1</v>
      </c>
      <c r="V181" s="395"/>
      <c r="W181" s="107"/>
      <c r="Z181" s="114">
        <f>IF(D181&gt;0,0,TRUNC(F181*T181+Y181*X181))</f>
        <v>0</v>
      </c>
      <c r="AA181" t="b">
        <f>IF($D181=1,SUM(Z$13:Z179)-SUM(AA$13:AA179),IF($D181=2,$AA$6,IF($D181=3,TRUNC($AA$6,-3))))</f>
        <v>0</v>
      </c>
      <c r="AB181">
        <f ca="1">IF(OR(AC$8=0,L180="l",D181&gt;0,U181=-1),0,IF(L180="b",-U181,TRUNC(F180*T181)))</f>
        <v>0</v>
      </c>
      <c r="AC181" t="b">
        <f>IF($D181=1,SUM(AB$13:AB179)-SUM(AC$13:AC179),IF($D181=2,$AA$5,IF($D181=3,TRUNC($AA$5,-3))))</f>
        <v>0</v>
      </c>
    </row>
    <row r="182" spans="3:29" ht="15" customHeight="1" x14ac:dyDescent="0.15">
      <c r="C182" s="182"/>
      <c r="D182" s="210"/>
      <c r="E182" s="184"/>
      <c r="F182" s="227"/>
      <c r="G182" s="297" t="str">
        <f ca="1">IF(OR(AC$8=0,L182="b"),"",IF(L182="l",0,"("&amp;FIXED(-F182,K183,0)&amp;M182))</f>
        <v/>
      </c>
      <c r="H182" s="183"/>
      <c r="I182" s="185"/>
      <c r="L182" t="str">
        <f t="shared" ca="1" si="31"/>
        <v>b</v>
      </c>
      <c r="M182" t="str">
        <f>")"&amp;REPT(" ",2-K183)&amp;IF(K183=0," ","")</f>
        <v xml:space="preserve">)   </v>
      </c>
      <c r="O182" s="194"/>
      <c r="P182" s="207">
        <f>D182</f>
        <v>0</v>
      </c>
      <c r="Q182" s="207">
        <f t="shared" si="33"/>
        <v>0</v>
      </c>
      <c r="R182" s="300" t="str">
        <f t="shared" ca="1" si="32"/>
        <v/>
      </c>
      <c r="S182" s="304"/>
      <c r="T182" s="149"/>
      <c r="U182" s="206">
        <f ca="1">IF(OR(AC$8=0,SUM(Z183:AC183)=0),1,IF(L182="l","",SUM(AB183:AC183)))</f>
        <v>1</v>
      </c>
      <c r="V182" s="394"/>
      <c r="W182" s="50"/>
      <c r="Z182"/>
    </row>
    <row r="183" spans="3:29" ht="15" customHeight="1" x14ac:dyDescent="0.15">
      <c r="C183" s="186"/>
      <c r="D183" s="205"/>
      <c r="E183" s="188"/>
      <c r="F183" s="226"/>
      <c r="G183" s="296" t="str">
        <f ca="1">IF(L183="b","",IF(L183="l",0,FIXED(F183,K183,0)&amp;M183))</f>
        <v/>
      </c>
      <c r="H183" s="187"/>
      <c r="I183" s="189"/>
      <c r="K183" s="215"/>
      <c r="L183" t="str">
        <f t="shared" ca="1" si="31"/>
        <v>b</v>
      </c>
      <c r="M183" t="str">
        <f>REPT(" ",3-K183)&amp;IF(K183=0," ","")</f>
        <v xml:space="preserve">    </v>
      </c>
      <c r="O183" s="194"/>
      <c r="P183" s="208">
        <f>IF(ISNUMBER(D183),LOOKUP(D183,$AB$5:$AC$7),D183)</f>
        <v>0</v>
      </c>
      <c r="Q183" s="208">
        <f t="shared" si="33"/>
        <v>0</v>
      </c>
      <c r="R183" s="301" t="str">
        <f t="shared" ca="1" si="32"/>
        <v/>
      </c>
      <c r="S183" s="305">
        <f>H183</f>
        <v>0</v>
      </c>
      <c r="T183" s="150"/>
      <c r="U183" s="216">
        <f ca="1">IF(L183="l","",IF(D183+F183&gt;0,SUM(Z183:AA183),-1))</f>
        <v>-1</v>
      </c>
      <c r="V183" s="395"/>
      <c r="W183" s="107"/>
      <c r="Z183" s="114">
        <f>IF(D183&gt;0,0,TRUNC(F183*T183+Y183*X183))</f>
        <v>0</v>
      </c>
      <c r="AA183" t="b">
        <f>IF($D183=1,SUM(Z$13:Z181)-SUM(AA$13:AA181),IF($D183=2,$AA$6,IF($D183=3,TRUNC($AA$6,-3))))</f>
        <v>0</v>
      </c>
      <c r="AB183">
        <f ca="1">IF(OR(AC$8=0,L182="l",D183&gt;0,U183=-1),0,IF(L182="b",-U183,TRUNC(F182*T183)))</f>
        <v>0</v>
      </c>
      <c r="AC183" t="b">
        <f>IF($D183=1,SUM(AB$13:AB181)-SUM(AC$13:AC181),IF($D183=2,$AA$5,IF($D183=3,TRUNC($AA$5,-3))))</f>
        <v>0</v>
      </c>
    </row>
    <row r="184" spans="3:29" ht="15" customHeight="1" x14ac:dyDescent="0.15">
      <c r="C184" s="182"/>
      <c r="D184" s="210"/>
      <c r="E184" s="184"/>
      <c r="F184" s="227"/>
      <c r="G184" s="297" t="str">
        <f ca="1">IF(OR(AC$8=0,L184="b"),"",IF(L184="l",0,"("&amp;FIXED(-F184,K185,0)&amp;M184))</f>
        <v/>
      </c>
      <c r="H184" s="183"/>
      <c r="I184" s="185"/>
      <c r="L184" t="str">
        <f t="shared" ca="1" si="31"/>
        <v>b</v>
      </c>
      <c r="M184" t="str">
        <f>")"&amp;REPT(" ",2-K185)&amp;IF(K185=0," ","")</f>
        <v xml:space="preserve">)   </v>
      </c>
      <c r="O184" s="194"/>
      <c r="P184" s="207">
        <f>D184</f>
        <v>0</v>
      </c>
      <c r="Q184" s="207">
        <f t="shared" si="33"/>
        <v>0</v>
      </c>
      <c r="R184" s="300" t="str">
        <f t="shared" ca="1" si="32"/>
        <v/>
      </c>
      <c r="S184" s="304"/>
      <c r="T184" s="149"/>
      <c r="U184" s="206">
        <f ca="1">IF(OR(AC$8=0,SUM(Z185:AC185)=0),1,IF(L184="l","",SUM(AB185:AC185)))</f>
        <v>1</v>
      </c>
      <c r="V184" s="394"/>
      <c r="W184" s="50"/>
      <c r="Z184"/>
    </row>
    <row r="185" spans="3:29" ht="15" customHeight="1" x14ac:dyDescent="0.15">
      <c r="C185" s="186"/>
      <c r="D185" s="205"/>
      <c r="E185" s="188"/>
      <c r="F185" s="226"/>
      <c r="G185" s="296" t="str">
        <f ca="1">IF(L185="b","",IF(L185="l",0,FIXED(F185,K185,0)&amp;M185))</f>
        <v/>
      </c>
      <c r="H185" s="187"/>
      <c r="I185" s="189"/>
      <c r="K185" s="215"/>
      <c r="L185" t="str">
        <f t="shared" ca="1" si="31"/>
        <v>b</v>
      </c>
      <c r="M185" t="str">
        <f>REPT(" ",3-K185)&amp;IF(K185=0," ","")</f>
        <v xml:space="preserve">    </v>
      </c>
      <c r="O185" s="194"/>
      <c r="P185" s="208">
        <f>IF(ISNUMBER(D185),LOOKUP(D185,$AB$5:$AC$7),D185)</f>
        <v>0</v>
      </c>
      <c r="Q185" s="208">
        <f t="shared" si="33"/>
        <v>0</v>
      </c>
      <c r="R185" s="301" t="str">
        <f t="shared" ca="1" si="32"/>
        <v/>
      </c>
      <c r="S185" s="305">
        <f>H185</f>
        <v>0</v>
      </c>
      <c r="T185" s="150"/>
      <c r="U185" s="216">
        <f ca="1">IF(L185="l","",IF(D185+F185&gt;0,SUM(Z185:AA185),-1))</f>
        <v>-1</v>
      </c>
      <c r="V185" s="395"/>
      <c r="W185" s="107"/>
      <c r="Z185" s="114">
        <f>IF(D185&gt;0,0,TRUNC(F185*T185+Y185*X185))</f>
        <v>0</v>
      </c>
      <c r="AA185" t="b">
        <f>IF($D185=1,SUM(Z$13:Z183)-SUM(AA$13:AA183),IF($D185=2,$AA$6,IF($D185=3,TRUNC($AA$6,-3))))</f>
        <v>0</v>
      </c>
      <c r="AB185">
        <f ca="1">IF(OR(AC$8=0,L184="l",D185&gt;0,U185=-1),0,IF(L184="b",-U185,TRUNC(F184*T185)))</f>
        <v>0</v>
      </c>
      <c r="AC185" t="b">
        <f>IF($D185=1,SUM(AB$13:AB183)-SUM(AC$13:AC183),IF($D185=2,$AA$5,IF($D185=3,TRUNC($AA$5,-3))))</f>
        <v>0</v>
      </c>
    </row>
    <row r="186" spans="3:29" ht="15" customHeight="1" x14ac:dyDescent="0.15">
      <c r="C186" s="182"/>
      <c r="D186" s="210"/>
      <c r="E186" s="184"/>
      <c r="F186" s="227"/>
      <c r="G186" s="297" t="str">
        <f ca="1">IF(OR(AC$8=0,L186="b"),"",IF(L186="l",0,"("&amp;FIXED(-F186,K187,0)&amp;M186))</f>
        <v/>
      </c>
      <c r="H186" s="183"/>
      <c r="I186" s="185"/>
      <c r="L186" t="str">
        <f t="shared" ca="1" si="31"/>
        <v>b</v>
      </c>
      <c r="M186" t="str">
        <f>")"&amp;REPT(" ",2-K187)&amp;IF(K187=0," ","")</f>
        <v xml:space="preserve">)   </v>
      </c>
      <c r="O186" s="194"/>
      <c r="P186" s="207">
        <f>D186</f>
        <v>0</v>
      </c>
      <c r="Q186" s="207">
        <f t="shared" si="33"/>
        <v>0</v>
      </c>
      <c r="R186" s="300" t="str">
        <f t="shared" ca="1" si="32"/>
        <v/>
      </c>
      <c r="S186" s="304"/>
      <c r="T186" s="149"/>
      <c r="U186" s="206">
        <f ca="1">IF(OR(AC$8=0,SUM(Z187:AC187)=0),1,IF(L186="l","",SUM(AB187:AC187)))</f>
        <v>1</v>
      </c>
      <c r="V186" s="394"/>
      <c r="W186" s="50"/>
      <c r="Z186"/>
    </row>
    <row r="187" spans="3:29" ht="15" customHeight="1" x14ac:dyDescent="0.15">
      <c r="C187" s="186"/>
      <c r="D187" s="205"/>
      <c r="E187" s="188"/>
      <c r="F187" s="226"/>
      <c r="G187" s="296" t="str">
        <f ca="1">IF(L187="b","",IF(L187="l",0,FIXED(F187,K187,0)&amp;M187))</f>
        <v/>
      </c>
      <c r="H187" s="187"/>
      <c r="I187" s="189"/>
      <c r="K187" s="215"/>
      <c r="L187" t="str">
        <f t="shared" ca="1" si="31"/>
        <v>b</v>
      </c>
      <c r="M187" t="str">
        <f>REPT(" ",3-K187)&amp;IF(K187=0," ","")</f>
        <v xml:space="preserve">    </v>
      </c>
      <c r="O187" s="194"/>
      <c r="P187" s="208">
        <f>IF(ISNUMBER(D187),LOOKUP(D187,$AB$5:$AC$7),D187)</f>
        <v>0</v>
      </c>
      <c r="Q187" s="208">
        <f t="shared" si="33"/>
        <v>0</v>
      </c>
      <c r="R187" s="301" t="str">
        <f t="shared" ca="1" si="32"/>
        <v/>
      </c>
      <c r="S187" s="305">
        <f>H187</f>
        <v>0</v>
      </c>
      <c r="T187" s="150"/>
      <c r="U187" s="216">
        <f ca="1">IF(L187="l","",IF(D187+F187&gt;0,SUM(Z187:AA187),-1))</f>
        <v>-1</v>
      </c>
      <c r="V187" s="395"/>
      <c r="W187" s="107"/>
      <c r="Z187" s="114">
        <f>IF(D187&gt;0,0,TRUNC(F187*T187+Y187*X187))</f>
        <v>0</v>
      </c>
      <c r="AA187" t="b">
        <f>IF($D187=1,SUM(Z$13:Z185)-SUM(AA$13:AA185),IF($D187=2,$AA$6,IF($D187=3,TRUNC($AA$6,-3))))</f>
        <v>0</v>
      </c>
      <c r="AB187">
        <f ca="1">IF(OR(AC$8=0,L186="l",D187&gt;0,U187=-1),0,IF(L186="b",-U187,TRUNC(F186*T187)))</f>
        <v>0</v>
      </c>
      <c r="AC187" t="b">
        <f>IF($D187=1,SUM(AB$13:AB185)-SUM(AC$13:AC185),IF($D187=2,$AA$5,IF($D187=3,TRUNC($AA$5,-3))))</f>
        <v>0</v>
      </c>
    </row>
    <row r="188" spans="3:29" ht="15" customHeight="1" x14ac:dyDescent="0.15">
      <c r="C188" s="182"/>
      <c r="D188" s="210"/>
      <c r="E188" s="184"/>
      <c r="F188" s="227"/>
      <c r="G188" s="297" t="str">
        <f ca="1">IF(OR(AC$8=0,L188="b"),"",IF(L188="l",0,"("&amp;FIXED(-F188,K189,0)&amp;M188))</f>
        <v/>
      </c>
      <c r="H188" s="183"/>
      <c r="I188" s="185"/>
      <c r="L188" t="str">
        <f t="shared" ca="1" si="31"/>
        <v>b</v>
      </c>
      <c r="M188" t="str">
        <f>")"&amp;REPT(" ",2-K189)&amp;IF(K189=0," ","")</f>
        <v xml:space="preserve">)   </v>
      </c>
      <c r="O188" s="194"/>
      <c r="P188" s="207">
        <f>D188</f>
        <v>0</v>
      </c>
      <c r="Q188" s="207">
        <f t="shared" si="33"/>
        <v>0</v>
      </c>
      <c r="R188" s="300" t="str">
        <f t="shared" ca="1" si="32"/>
        <v/>
      </c>
      <c r="S188" s="304"/>
      <c r="T188" s="149"/>
      <c r="U188" s="206">
        <f ca="1">IF(OR(AC$8=0,SUM(Z189:AC189)=0),1,IF(L188="l","",SUM(AB189:AC189)))</f>
        <v>1</v>
      </c>
      <c r="V188" s="394"/>
      <c r="W188" s="50"/>
      <c r="Z188"/>
    </row>
    <row r="189" spans="3:29" ht="15" customHeight="1" x14ac:dyDescent="0.15">
      <c r="C189" s="186"/>
      <c r="D189" s="205"/>
      <c r="E189" s="188"/>
      <c r="F189" s="226"/>
      <c r="G189" s="296" t="str">
        <f ca="1">IF(L189="b","",IF(L189="l",0,FIXED(F189,K189,0)&amp;M189))</f>
        <v/>
      </c>
      <c r="H189" s="187"/>
      <c r="I189" s="189"/>
      <c r="K189" s="215"/>
      <c r="L189" t="str">
        <f t="shared" ca="1" si="31"/>
        <v>b</v>
      </c>
      <c r="M189" t="str">
        <f>REPT(" ",3-K189)&amp;IF(K189=0," ","")</f>
        <v xml:space="preserve">    </v>
      </c>
      <c r="O189" s="194"/>
      <c r="P189" s="208">
        <f>IF(ISNUMBER(D189),LOOKUP(D189,$AB$5:$AC$7),D189)</f>
        <v>0</v>
      </c>
      <c r="Q189" s="208">
        <f t="shared" si="33"/>
        <v>0</v>
      </c>
      <c r="R189" s="301" t="str">
        <f t="shared" ca="1" si="32"/>
        <v/>
      </c>
      <c r="S189" s="305">
        <f>H189</f>
        <v>0</v>
      </c>
      <c r="T189" s="150"/>
      <c r="U189" s="216">
        <f ca="1">IF(L189="l","",IF(D189+F189&gt;0,SUM(Z189:AA189),-1))</f>
        <v>-1</v>
      </c>
      <c r="V189" s="395"/>
      <c r="W189" s="107"/>
      <c r="Z189" s="114">
        <f>IF(D189&gt;0,0,TRUNC(F189*T189+Y189*X189))</f>
        <v>0</v>
      </c>
      <c r="AA189" t="b">
        <f>IF($D189=1,SUM(Z$13:Z187)-SUM(AA$13:AA187),IF($D189=2,$AA$6,IF($D189=3,TRUNC($AA$6,-3))))</f>
        <v>0</v>
      </c>
      <c r="AB189">
        <f ca="1">IF(OR(AC$8=0,L188="l",D189&gt;0,U189=-1),0,IF(L188="b",-U189,TRUNC(F188*T189)))</f>
        <v>0</v>
      </c>
      <c r="AC189" t="b">
        <f>IF($D189=1,SUM(AB$13:AB187)-SUM(AC$13:AC187),IF($D189=2,$AA$5,IF($D189=3,TRUNC($AA$5,-3))))</f>
        <v>0</v>
      </c>
    </row>
    <row r="190" spans="3:29" ht="15" customHeight="1" x14ac:dyDescent="0.15">
      <c r="C190" s="182"/>
      <c r="D190" s="210"/>
      <c r="E190" s="184"/>
      <c r="F190" s="227"/>
      <c r="G190" s="297" t="str">
        <f ca="1">IF(OR(AC$8=0,L190="b"),"",IF(L190="l",0,"("&amp;FIXED(-F190,K191,0)&amp;M190))</f>
        <v/>
      </c>
      <c r="H190" s="183"/>
      <c r="I190" s="185"/>
      <c r="L190" t="str">
        <f t="shared" ca="1" si="31"/>
        <v>b</v>
      </c>
      <c r="M190" t="str">
        <f>")"&amp;REPT(" ",2-K191)&amp;IF(K191=0," ","")</f>
        <v xml:space="preserve">)   </v>
      </c>
      <c r="O190" s="194"/>
      <c r="P190" s="207">
        <f>D190</f>
        <v>0</v>
      </c>
      <c r="Q190" s="207">
        <f t="shared" si="33"/>
        <v>0</v>
      </c>
      <c r="R190" s="300" t="str">
        <f t="shared" ca="1" si="32"/>
        <v/>
      </c>
      <c r="S190" s="304"/>
      <c r="T190" s="149"/>
      <c r="U190" s="206">
        <f ca="1">IF(OR(AC$8=0,SUM(Z191:AC191)=0),1,IF(L190="l","",SUM(AB191:AC191)))</f>
        <v>1</v>
      </c>
      <c r="V190" s="394"/>
      <c r="W190" s="50"/>
      <c r="Z190"/>
    </row>
    <row r="191" spans="3:29" ht="15" customHeight="1" x14ac:dyDescent="0.15">
      <c r="C191" s="186"/>
      <c r="D191" s="205"/>
      <c r="E191" s="188"/>
      <c r="F191" s="226"/>
      <c r="G191" s="296" t="str">
        <f ca="1">IF(L191="b","",IF(L191="l",0,FIXED(F191,K191,0)&amp;M191))</f>
        <v/>
      </c>
      <c r="H191" s="187"/>
      <c r="I191" s="189"/>
      <c r="K191" s="215"/>
      <c r="L191" t="str">
        <f t="shared" ca="1" si="31"/>
        <v>b</v>
      </c>
      <c r="M191" t="str">
        <f>REPT(" ",3-K191)&amp;IF(K191=0," ","")</f>
        <v xml:space="preserve">    </v>
      </c>
      <c r="O191" s="194"/>
      <c r="P191" s="208">
        <f>IF(ISNUMBER(D191),LOOKUP(D191,$AB$5:$AC$7),D191)</f>
        <v>0</v>
      </c>
      <c r="Q191" s="208">
        <f t="shared" si="33"/>
        <v>0</v>
      </c>
      <c r="R191" s="301" t="str">
        <f t="shared" ca="1" si="32"/>
        <v/>
      </c>
      <c r="S191" s="305">
        <f>H191</f>
        <v>0</v>
      </c>
      <c r="T191" s="150"/>
      <c r="U191" s="216">
        <f ca="1">IF(L191="l","",IF(D191+F191&gt;0,SUM(Z191:AA191),-1))</f>
        <v>-1</v>
      </c>
      <c r="V191" s="395"/>
      <c r="W191" s="107"/>
      <c r="Z191" s="114">
        <f>IF(D191&gt;0,0,TRUNC(F191*T191+Y191*X191))</f>
        <v>0</v>
      </c>
      <c r="AA191" t="b">
        <f>IF($D191=1,SUM(Z$13:Z189)-SUM(AA$13:AA189),IF($D191=2,$AA$6,IF($D191=3,TRUNC($AA$6,-3))))</f>
        <v>0</v>
      </c>
      <c r="AB191">
        <f ca="1">IF(OR(AC$8=0,L190="l",D191&gt;0,U191=-1),0,IF(L190="b",-U191,TRUNC(F190*T191)))</f>
        <v>0</v>
      </c>
      <c r="AC191" t="b">
        <f>IF($D191=1,SUM(AB$13:AB189)-SUM(AC$13:AC189),IF($D191=2,$AA$5,IF($D191=3,TRUNC($AA$5,-3))))</f>
        <v>0</v>
      </c>
    </row>
    <row r="192" spans="3:29" ht="15" customHeight="1" x14ac:dyDescent="0.15">
      <c r="C192" s="182"/>
      <c r="D192" s="210"/>
      <c r="E192" s="184"/>
      <c r="F192" s="227"/>
      <c r="G192" s="297" t="str">
        <f ca="1">IF(OR(AC$8=0,L192="b"),"",IF(L192="l",0,"("&amp;FIXED(-F192,K193,0)&amp;M192))</f>
        <v/>
      </c>
      <c r="H192" s="183"/>
      <c r="I192" s="185"/>
      <c r="L192" t="str">
        <f t="shared" ca="1" si="31"/>
        <v>b</v>
      </c>
      <c r="M192" t="str">
        <f>")"&amp;REPT(" ",2-K193)&amp;IF(K193=0," ","")</f>
        <v xml:space="preserve">)   </v>
      </c>
      <c r="O192" s="194"/>
      <c r="P192" s="207">
        <f>D192</f>
        <v>0</v>
      </c>
      <c r="Q192" s="207">
        <f t="shared" si="33"/>
        <v>0</v>
      </c>
      <c r="R192" s="300" t="str">
        <f t="shared" ca="1" si="32"/>
        <v/>
      </c>
      <c r="S192" s="304"/>
      <c r="T192" s="149"/>
      <c r="U192" s="206">
        <f ca="1">IF(OR(AC$8=0,SUM(Z193:AC193)=0),1,IF(L192="l","",SUM(AB193:AC193)))</f>
        <v>1</v>
      </c>
      <c r="V192" s="394"/>
      <c r="W192" s="50"/>
      <c r="Z192"/>
    </row>
    <row r="193" spans="3:29" ht="15" customHeight="1" x14ac:dyDescent="0.15">
      <c r="C193" s="186"/>
      <c r="D193" s="205"/>
      <c r="E193" s="188"/>
      <c r="F193" s="226"/>
      <c r="G193" s="296" t="str">
        <f ca="1">IF(L193="b","",IF(L193="l",0,FIXED(F193,K193,0)&amp;M193))</f>
        <v/>
      </c>
      <c r="H193" s="187"/>
      <c r="I193" s="189"/>
      <c r="K193" s="215"/>
      <c r="L193" t="str">
        <f t="shared" ca="1" si="31"/>
        <v>b</v>
      </c>
      <c r="M193" t="str">
        <f>REPT(" ",3-K193)&amp;IF(K193=0," ","")</f>
        <v xml:space="preserve">    </v>
      </c>
      <c r="O193" s="194"/>
      <c r="P193" s="208">
        <f>IF(ISNUMBER(D193),LOOKUP(D193,$AB$5:$AC$7),D193)</f>
        <v>0</v>
      </c>
      <c r="Q193" s="208">
        <f t="shared" si="33"/>
        <v>0</v>
      </c>
      <c r="R193" s="301" t="str">
        <f t="shared" ca="1" si="32"/>
        <v/>
      </c>
      <c r="S193" s="305">
        <f>H193</f>
        <v>0</v>
      </c>
      <c r="T193" s="150"/>
      <c r="U193" s="216">
        <f ca="1">IF(L193="l","",IF(D193+F193&gt;0,SUM(Z193:AA193),-1))</f>
        <v>-1</v>
      </c>
      <c r="V193" s="395"/>
      <c r="W193" s="107"/>
      <c r="Z193" s="114">
        <f>IF(D193&gt;0,0,TRUNC(F193*T193+Y193*X193))</f>
        <v>0</v>
      </c>
      <c r="AA193" t="b">
        <f>IF($D193=1,SUM(Z$13:Z191)-SUM(AA$13:AA191),IF($D193=2,$AA$6,IF($D193=3,TRUNC($AA$6,-3))))</f>
        <v>0</v>
      </c>
      <c r="AB193">
        <f ca="1">IF(OR(AC$8=0,L192="l",D193&gt;0,U193=-1),0,IF(L192="b",-U193,TRUNC(F192*T193)))</f>
        <v>0</v>
      </c>
      <c r="AC193" t="b">
        <f>IF($D193=1,SUM(AB$13:AB191)-SUM(AC$13:AC191),IF($D193=2,$AA$5,IF($D193=3,TRUNC($AA$5,-3))))</f>
        <v>0</v>
      </c>
    </row>
    <row r="194" spans="3:29" ht="15" customHeight="1" x14ac:dyDescent="0.15">
      <c r="C194" s="182"/>
      <c r="D194" s="210"/>
      <c r="E194" s="184"/>
      <c r="F194" s="227"/>
      <c r="G194" s="297" t="str">
        <f ca="1">IF(OR(AC$8=0,L194="b"),"",IF(L194="l",0,"("&amp;FIXED(-F194,K195,0)&amp;M194))</f>
        <v/>
      </c>
      <c r="H194" s="183"/>
      <c r="I194" s="185"/>
      <c r="L194" t="str">
        <f t="shared" ca="1" si="31"/>
        <v>b</v>
      </c>
      <c r="M194" t="str">
        <f>")"&amp;REPT(" ",2-K195)&amp;IF(K195=0," ","")</f>
        <v xml:space="preserve">)   </v>
      </c>
      <c r="O194" s="194"/>
      <c r="P194" s="255">
        <f>D194</f>
        <v>0</v>
      </c>
      <c r="Q194" s="207">
        <f t="shared" si="33"/>
        <v>0</v>
      </c>
      <c r="R194" s="300" t="str">
        <f t="shared" ca="1" si="32"/>
        <v/>
      </c>
      <c r="S194" s="304"/>
      <c r="T194" s="149"/>
      <c r="U194" s="206">
        <f ca="1">IF(OR(AC$8=0,SUM(Z195:AC195)=0),1,IF(L194="l","",SUM(AB195:AC195)))</f>
        <v>1</v>
      </c>
      <c r="V194" s="394"/>
      <c r="W194" s="50"/>
      <c r="Z194"/>
    </row>
    <row r="195" spans="3:29" ht="15" customHeight="1" x14ac:dyDescent="0.15">
      <c r="C195" s="186"/>
      <c r="D195" s="205"/>
      <c r="E195" s="188"/>
      <c r="F195" s="226"/>
      <c r="G195" s="296" t="str">
        <f ca="1">IF(L195="b","",IF(L195="l",0,FIXED(F195,K195,0)&amp;M195))</f>
        <v/>
      </c>
      <c r="H195" s="187"/>
      <c r="I195" s="189"/>
      <c r="K195" s="215"/>
      <c r="L195" t="str">
        <f t="shared" ca="1" si="31"/>
        <v>b</v>
      </c>
      <c r="M195" t="str">
        <f>REPT(" ",3-K195)&amp;IF(K195=0," ","")</f>
        <v xml:space="preserve">    </v>
      </c>
      <c r="O195" s="194"/>
      <c r="P195" s="208">
        <f>IF(ISNUMBER(D195),LOOKUP(D195,$AB$5:$AC$7),D195)</f>
        <v>0</v>
      </c>
      <c r="Q195" s="208">
        <f t="shared" si="33"/>
        <v>0</v>
      </c>
      <c r="R195" s="301" t="str">
        <f t="shared" ca="1" si="32"/>
        <v/>
      </c>
      <c r="S195" s="305">
        <f>H195</f>
        <v>0</v>
      </c>
      <c r="T195" s="150"/>
      <c r="U195" s="216">
        <f ca="1">IF(L195="l","",IF(D195+F195&gt;0,SUM(Z195:AA195),-1))</f>
        <v>-1</v>
      </c>
      <c r="V195" s="395"/>
      <c r="W195" s="107"/>
      <c r="Z195" s="114">
        <f>IF(D195&gt;0,0,TRUNC(F195*T195+Y195*X195))</f>
        <v>0</v>
      </c>
      <c r="AA195" t="b">
        <f>IF($D195=1,SUM(Z$13:Z193)-SUM(AA$13:AA193),IF($D195=2,$AA$6,IF($D195=3,TRUNC($AA$6,-3))))</f>
        <v>0</v>
      </c>
      <c r="AB195">
        <f ca="1">IF(OR(AC$8=0,L194="l",D195&gt;0,U195=-1),0,IF(L194="b",-U195,TRUNC(F194*T195)))</f>
        <v>0</v>
      </c>
      <c r="AC195" t="b">
        <f>IF($D195=1,SUM(AB$13:AB193)-SUM(AC$13:AC193),IF($D195=2,$AA$5,IF($D195=3,TRUNC($AA$5,-3))))</f>
        <v>0</v>
      </c>
    </row>
    <row r="196" spans="3:29" ht="15" customHeight="1" x14ac:dyDescent="0.15">
      <c r="C196" s="182"/>
      <c r="D196" s="210"/>
      <c r="E196" s="184"/>
      <c r="F196" s="227"/>
      <c r="G196" s="297" t="str">
        <f ca="1">IF(OR(AC$8=0,L196="b"),"",IF(L196="l",0,"("&amp;FIXED(-F196,K197,0)&amp;M196))</f>
        <v/>
      </c>
      <c r="H196" s="183"/>
      <c r="I196" s="185"/>
      <c r="L196" t="str">
        <f t="shared" ca="1" si="31"/>
        <v>b</v>
      </c>
      <c r="M196" t="str">
        <f>")"&amp;REPT(" ",2-K197)&amp;IF(K197=0," ","")</f>
        <v xml:space="preserve">)   </v>
      </c>
      <c r="O196" s="194"/>
      <c r="P196" s="207">
        <f>D196</f>
        <v>0</v>
      </c>
      <c r="Q196" s="207">
        <f t="shared" si="33"/>
        <v>0</v>
      </c>
      <c r="R196" s="300" t="str">
        <f t="shared" ca="1" si="32"/>
        <v/>
      </c>
      <c r="S196" s="304"/>
      <c r="T196" s="149"/>
      <c r="U196" s="206">
        <f ca="1">IF(OR(AC$8=0,SUM(Z197:AC197)=0),1,IF(L196="l","",SUM(AB197:AC197)))</f>
        <v>1</v>
      </c>
      <c r="V196" s="394"/>
      <c r="W196" s="50"/>
      <c r="Z196"/>
    </row>
    <row r="197" spans="3:29" ht="15" customHeight="1" x14ac:dyDescent="0.15">
      <c r="C197" s="186"/>
      <c r="D197" s="205"/>
      <c r="E197" s="188"/>
      <c r="F197" s="226"/>
      <c r="G197" s="296" t="str">
        <f ca="1">IF(L197="b","",IF(L197="l",0,FIXED(F197,K197,0)&amp;M197))</f>
        <v/>
      </c>
      <c r="H197" s="187"/>
      <c r="I197" s="189"/>
      <c r="K197" s="215"/>
      <c r="L197" t="str">
        <f t="shared" ca="1" si="31"/>
        <v>b</v>
      </c>
      <c r="M197" t="str">
        <f>REPT(" ",3-K197)&amp;IF(K197=0," ","")</f>
        <v xml:space="preserve">    </v>
      </c>
      <c r="O197" s="194"/>
      <c r="P197" s="208">
        <f>IF(ISNUMBER(D197),LOOKUP(D197,$AB$5:$AC$7),D197)</f>
        <v>0</v>
      </c>
      <c r="Q197" s="208">
        <f t="shared" si="33"/>
        <v>0</v>
      </c>
      <c r="R197" s="301" t="str">
        <f t="shared" ca="1" si="32"/>
        <v/>
      </c>
      <c r="S197" s="305">
        <f>H197</f>
        <v>0</v>
      </c>
      <c r="T197" s="150"/>
      <c r="U197" s="216">
        <f ca="1">IF(L197="l","",IF(D197+F197&gt;0,SUM(Z197:AA197),-1))</f>
        <v>-1</v>
      </c>
      <c r="V197" s="395"/>
      <c r="W197" s="107"/>
      <c r="Z197" s="114">
        <f>IF(D197&gt;0,0,TRUNC(F197*T197+Y197*X197))</f>
        <v>0</v>
      </c>
      <c r="AA197" t="b">
        <f>IF($D197=1,SUM(Z$13:Z195)-SUM(AA$13:AA195),IF($D197=2,$AA$6,IF($D197=3,TRUNC($AA$6,-3))))</f>
        <v>0</v>
      </c>
      <c r="AB197">
        <f ca="1">IF(OR(AC$8=0,L196="l",D197&gt;0,U197=-1),0,IF(L196="b",-U197,TRUNC(F196*T197)))</f>
        <v>0</v>
      </c>
      <c r="AC197" t="b">
        <f>IF($D197=1,SUM(AB$13:AB195)-SUM(AC$13:AC195),IF($D197=2,$AA$5,IF($D197=3,TRUNC($AA$5,-3))))</f>
        <v>0</v>
      </c>
    </row>
    <row r="198" spans="3:29" ht="15" customHeight="1" x14ac:dyDescent="0.15">
      <c r="C198" s="182"/>
      <c r="D198" s="210"/>
      <c r="E198" s="184"/>
      <c r="F198" s="227"/>
      <c r="G198" s="297" t="str">
        <f ca="1">IF(OR(AC$8=0,L198="b"),"",IF(L198="l",0,"("&amp;FIXED(-F198,K199,0)&amp;M198))</f>
        <v/>
      </c>
      <c r="H198" s="183"/>
      <c r="I198" s="185"/>
      <c r="L198" t="str">
        <f t="shared" ca="1" si="31"/>
        <v>b</v>
      </c>
      <c r="M198" t="str">
        <f>")"&amp;REPT(" ",2-K199)&amp;IF(K199=0," ","")</f>
        <v xml:space="preserve">)   </v>
      </c>
      <c r="O198" s="194"/>
      <c r="P198" s="207">
        <f>D198</f>
        <v>0</v>
      </c>
      <c r="Q198" s="207">
        <f t="shared" si="33"/>
        <v>0</v>
      </c>
      <c r="R198" s="300" t="str">
        <f t="shared" ca="1" si="32"/>
        <v/>
      </c>
      <c r="S198" s="304"/>
      <c r="T198" s="149"/>
      <c r="U198" s="206">
        <f ca="1">IF(OR(AC$8=0,SUM(Z199:AC199)=0),1,IF(L198="l","",SUM(AB199:AC199)))</f>
        <v>1</v>
      </c>
      <c r="V198" s="394"/>
      <c r="W198" s="69"/>
      <c r="Z198"/>
    </row>
    <row r="199" spans="3:29" ht="15" customHeight="1" x14ac:dyDescent="0.15">
      <c r="C199" s="186"/>
      <c r="D199" s="205"/>
      <c r="E199" s="188"/>
      <c r="F199" s="226"/>
      <c r="G199" s="296" t="str">
        <f ca="1">IF(L199="b","",IF(L199="l",0,FIXED(F199,K199,0)&amp;M199))</f>
        <v/>
      </c>
      <c r="H199" s="187"/>
      <c r="I199" s="189"/>
      <c r="K199" s="215"/>
      <c r="L199" t="str">
        <f t="shared" ca="1" si="31"/>
        <v>b</v>
      </c>
      <c r="M199" t="str">
        <f>REPT(" ",3-K199)&amp;IF(K199=0," ","")</f>
        <v xml:space="preserve">    </v>
      </c>
      <c r="O199" s="194"/>
      <c r="P199" s="208">
        <f>IF(ISNUMBER(D199),LOOKUP(D199,$AB$5:$AC$7),D199)</f>
        <v>0</v>
      </c>
      <c r="Q199" s="208">
        <f t="shared" si="33"/>
        <v>0</v>
      </c>
      <c r="R199" s="301" t="str">
        <f t="shared" ca="1" si="32"/>
        <v/>
      </c>
      <c r="S199" s="305">
        <f>H199</f>
        <v>0</v>
      </c>
      <c r="T199" s="150"/>
      <c r="U199" s="216">
        <f ca="1">IF(L199="l","",IF(D199+F199&gt;0,SUM(Z199:AA199),-1))</f>
        <v>-1</v>
      </c>
      <c r="V199" s="395"/>
      <c r="W199" s="141"/>
      <c r="Z199" s="114">
        <f>IF(D199&gt;0,0,TRUNC(F199*T199+Y199*X199))</f>
        <v>0</v>
      </c>
      <c r="AA199" t="b">
        <f>IF($D199=1,SUM(Z$13:Z197)-SUM(AA$13:AA197),IF($D199=2,$AA$6,IF($D199=3,TRUNC($AA$6,-3))))</f>
        <v>0</v>
      </c>
      <c r="AB199">
        <f ca="1">IF(OR(AC$8=0,L198="l",D199&gt;0,U199=-1),0,IF(L198="b",-U199,TRUNC(F198*T199)))</f>
        <v>0</v>
      </c>
      <c r="AC199" t="b">
        <f>IF($D199=1,SUM(AB$13:AB197)-SUM(AC$13:AC197),IF($D199=2,$AA$5,IF($D199=3,TRUNC($AA$5,-3))))</f>
        <v>0</v>
      </c>
    </row>
    <row r="200" spans="3:29" ht="15" customHeight="1" x14ac:dyDescent="0.15">
      <c r="C200" s="182"/>
      <c r="D200" s="210"/>
      <c r="E200" s="184"/>
      <c r="F200" s="227"/>
      <c r="G200" s="297" t="str">
        <f ca="1">IF(OR(AC$8=0,L200="b"),"",IF(L200="l",0,"("&amp;FIXED(-F200,K201,0)&amp;M200))</f>
        <v/>
      </c>
      <c r="H200" s="183"/>
      <c r="I200" s="185"/>
      <c r="L200" t="str">
        <f t="shared" ca="1" si="31"/>
        <v>b</v>
      </c>
      <c r="M200" t="str">
        <f>")"&amp;REPT(" ",2-K201)&amp;IF(K201=0," ","")</f>
        <v xml:space="preserve">)   </v>
      </c>
      <c r="O200" s="194"/>
      <c r="P200" s="207">
        <f>D200</f>
        <v>0</v>
      </c>
      <c r="Q200" s="207">
        <f t="shared" si="33"/>
        <v>0</v>
      </c>
      <c r="R200" s="300" t="str">
        <f t="shared" ca="1" si="32"/>
        <v/>
      </c>
      <c r="S200" s="304"/>
      <c r="T200" s="149"/>
      <c r="U200" s="206">
        <f ca="1">IF(OR(AC$8=0,SUM(Z201:AC201)=0),1,IF(L200="l","",SUM(AB201:AC201)))</f>
        <v>1</v>
      </c>
      <c r="V200" s="394"/>
      <c r="W200" s="69"/>
      <c r="Z200"/>
    </row>
    <row r="201" spans="3:29" ht="15" customHeight="1" x14ac:dyDescent="0.15">
      <c r="C201" s="186"/>
      <c r="D201" s="205"/>
      <c r="E201" s="188"/>
      <c r="F201" s="226"/>
      <c r="G201" s="296" t="str">
        <f ca="1">IF(L201="b","",IF(L201="l",0,FIXED(F201,K201,0)&amp;M201))</f>
        <v/>
      </c>
      <c r="H201" s="187"/>
      <c r="I201" s="189"/>
      <c r="K201" s="215"/>
      <c r="L201" t="str">
        <f t="shared" ca="1" si="31"/>
        <v>b</v>
      </c>
      <c r="M201" t="str">
        <f>REPT(" ",3-K201)&amp;IF(K201=0," ","")</f>
        <v xml:space="preserve">    </v>
      </c>
      <c r="O201" s="194"/>
      <c r="P201" s="208">
        <f>IF(ISNUMBER(D201),LOOKUP(D201,$AB$5:$AC$7),D201)</f>
        <v>0</v>
      </c>
      <c r="Q201" s="208">
        <f t="shared" si="33"/>
        <v>0</v>
      </c>
      <c r="R201" s="301" t="str">
        <f t="shared" ca="1" si="32"/>
        <v/>
      </c>
      <c r="S201" s="305">
        <f>H201</f>
        <v>0</v>
      </c>
      <c r="T201" s="150"/>
      <c r="U201" s="216">
        <f ca="1">IF(L201="l","",IF(D201+F201&gt;0,SUM(Z201:AA201),-1))</f>
        <v>-1</v>
      </c>
      <c r="V201" s="395"/>
      <c r="W201" s="141"/>
      <c r="Z201" s="114">
        <f>IF(D201&gt;0,0,TRUNC(F201*T201+Y201*X201))</f>
        <v>0</v>
      </c>
      <c r="AA201" t="b">
        <f>IF($D201=1,SUM(Z$13:Z199)-SUM(AA$13:AA199),IF($D201=2,$AA$6,IF($D201=3,TRUNC($AA$6,-3))))</f>
        <v>0</v>
      </c>
      <c r="AB201">
        <f ca="1">IF(OR(AC$8=0,L200="l",D201&gt;0,U201=-1),0,IF(L200="b",-U201,TRUNC(F200*T201)))</f>
        <v>0</v>
      </c>
      <c r="AC201" t="b">
        <f>IF($D201=1,SUM(AB$13:AB199)-SUM(AC$13:AC199),IF($D201=2,$AA$5,IF($D201=3,TRUNC($AA$5,-3))))</f>
        <v>0</v>
      </c>
    </row>
    <row r="202" spans="3:29" ht="15" customHeight="1" x14ac:dyDescent="0.15">
      <c r="C202" s="182"/>
      <c r="D202" s="210"/>
      <c r="E202" s="184"/>
      <c r="F202" s="227"/>
      <c r="G202" s="297" t="str">
        <f ca="1">IF(OR(AC$8=0,L202="b"),"",IF(L202="l",0,"("&amp;FIXED(-F202,K203,0)&amp;M202))</f>
        <v/>
      </c>
      <c r="H202" s="183"/>
      <c r="I202" s="185"/>
      <c r="L202" t="str">
        <f t="shared" ca="1" si="31"/>
        <v>b</v>
      </c>
      <c r="M202" t="str">
        <f>")"&amp;REPT(" ",2-K203)&amp;IF(K203=0," ","")</f>
        <v xml:space="preserve">)   </v>
      </c>
      <c r="O202" s="194"/>
      <c r="P202" s="207">
        <f>D202</f>
        <v>0</v>
      </c>
      <c r="Q202" s="207">
        <f t="shared" si="33"/>
        <v>0</v>
      </c>
      <c r="R202" s="300" t="str">
        <f t="shared" ca="1" si="32"/>
        <v/>
      </c>
      <c r="S202" s="304"/>
      <c r="T202" s="149"/>
      <c r="U202" s="206">
        <f ca="1">IF(OR(AC$8=0,SUM(Z203:AC203)=0),1,IF(L202="l","",SUM(AB203:AC203)))</f>
        <v>1</v>
      </c>
      <c r="V202" s="394"/>
      <c r="W202" s="50"/>
      <c r="Z202"/>
    </row>
    <row r="203" spans="3:29" ht="15" customHeight="1" x14ac:dyDescent="0.15">
      <c r="C203" s="186"/>
      <c r="D203" s="205"/>
      <c r="E203" s="188"/>
      <c r="F203" s="226"/>
      <c r="G203" s="296" t="str">
        <f ca="1">IF(L203="b","",IF(L203="l",0,FIXED(F203,K203,0)&amp;M203))</f>
        <v/>
      </c>
      <c r="H203" s="187"/>
      <c r="I203" s="189"/>
      <c r="K203" s="215"/>
      <c r="L203" t="str">
        <f t="shared" ca="1" si="31"/>
        <v>b</v>
      </c>
      <c r="M203" t="str">
        <f>REPT(" ",3-K203)&amp;IF(K203=0," ","")</f>
        <v xml:space="preserve">    </v>
      </c>
      <c r="O203" s="194"/>
      <c r="P203" s="208">
        <f>IF(ISNUMBER(D203),LOOKUP(D203,$AB$5:$AC$7),D203)</f>
        <v>0</v>
      </c>
      <c r="Q203" s="208">
        <f t="shared" si="33"/>
        <v>0</v>
      </c>
      <c r="R203" s="301" t="str">
        <f t="shared" ca="1" si="32"/>
        <v/>
      </c>
      <c r="S203" s="305">
        <f>H203</f>
        <v>0</v>
      </c>
      <c r="T203" s="150"/>
      <c r="U203" s="216">
        <f ca="1">IF(L203="l","",IF(D203+F203&gt;0,SUM(Z203:AA203),-1))</f>
        <v>-1</v>
      </c>
      <c r="V203" s="395"/>
      <c r="W203" s="107"/>
      <c r="Z203" s="114">
        <f>IF(D203&gt;0,0,TRUNC(F203*T203+Y203*X203))</f>
        <v>0</v>
      </c>
      <c r="AA203" t="b">
        <f>IF($D203=1,SUM(Z$13:Z201)-SUM(AA$13:AA201),IF($D203=2,$AA$6,IF($D203=3,TRUNC($AA$6,-3))))</f>
        <v>0</v>
      </c>
      <c r="AB203">
        <f ca="1">IF(OR(AC$8=0,L202="l",D203&gt;0,U203=-1),0,IF(L202="b",-U203,TRUNC(F202*T203)))</f>
        <v>0</v>
      </c>
      <c r="AC203" t="b">
        <f>IF($D203=1,SUM(AB$13:AB201)-SUM(AC$13:AC201),IF($D203=2,$AA$5,IF($D203=3,TRUNC($AA$5,-3))))</f>
        <v>0</v>
      </c>
    </row>
    <row r="204" spans="3:29" ht="15" customHeight="1" x14ac:dyDescent="0.15">
      <c r="C204" s="182"/>
      <c r="D204" s="210"/>
      <c r="E204" s="184"/>
      <c r="F204" s="227"/>
      <c r="G204" s="297" t="str">
        <f ca="1">IF(OR(AC$8=0,L204="b"),"",IF(L204="l",0,"("&amp;FIXED(-F204,K205,0)&amp;M204))</f>
        <v/>
      </c>
      <c r="H204" s="183"/>
      <c r="I204" s="185"/>
      <c r="L204" t="str">
        <f t="shared" ca="1" si="31"/>
        <v>b</v>
      </c>
      <c r="M204" t="str">
        <f>")"&amp;REPT(" ",2-K205)&amp;IF(K205=0," ","")</f>
        <v xml:space="preserve">)   </v>
      </c>
      <c r="O204" s="194"/>
      <c r="P204" s="207">
        <f>D204</f>
        <v>0</v>
      </c>
      <c r="Q204" s="207">
        <f t="shared" si="33"/>
        <v>0</v>
      </c>
      <c r="R204" s="300" t="str">
        <f t="shared" ca="1" si="32"/>
        <v/>
      </c>
      <c r="S204" s="304"/>
      <c r="T204" s="149"/>
      <c r="U204" s="206">
        <f ca="1">IF(OR(AC$8=0,SUM(Z205:AC205)=0),1,IF(L204="l","",SUM(AB205:AC205)))</f>
        <v>1</v>
      </c>
      <c r="V204" s="394"/>
      <c r="W204" s="50"/>
      <c r="Z204"/>
    </row>
    <row r="205" spans="3:29" ht="15" customHeight="1" x14ac:dyDescent="0.15">
      <c r="C205" s="186"/>
      <c r="D205" s="205"/>
      <c r="E205" s="188"/>
      <c r="F205" s="226"/>
      <c r="G205" s="296" t="str">
        <f ca="1">IF(L205="b","",IF(L205="l",0,FIXED(F205,K205,0)&amp;M205))</f>
        <v/>
      </c>
      <c r="H205" s="187"/>
      <c r="I205" s="189"/>
      <c r="K205" s="215"/>
      <c r="L205" t="str">
        <f t="shared" ca="1" si="31"/>
        <v>b</v>
      </c>
      <c r="M205" t="str">
        <f>REPT(" ",3-K205)&amp;IF(K205=0," ","")</f>
        <v xml:space="preserve">    </v>
      </c>
      <c r="O205" s="194"/>
      <c r="P205" s="208">
        <f>IF(ISNUMBER(D205),LOOKUP(D205,$AB$5:$AC$7),D205)</f>
        <v>0</v>
      </c>
      <c r="Q205" s="208">
        <f t="shared" si="33"/>
        <v>0</v>
      </c>
      <c r="R205" s="301" t="str">
        <f t="shared" ca="1" si="32"/>
        <v/>
      </c>
      <c r="S205" s="305">
        <f>H205</f>
        <v>0</v>
      </c>
      <c r="T205" s="150"/>
      <c r="U205" s="216">
        <f ca="1">IF(L205="l","",IF(D205+F205&gt;0,SUM(Z205:AA205),-1))</f>
        <v>-1</v>
      </c>
      <c r="V205" s="395"/>
      <c r="W205" s="107"/>
      <c r="Z205" s="114">
        <f>IF(D205&gt;0,0,TRUNC(F205*T205+Y205*X205))</f>
        <v>0</v>
      </c>
      <c r="AA205" t="b">
        <f>IF($D205=1,SUM(Z$13:Z203)-SUM(AA$13:AA203),IF($D205=2,$AA$6,IF($D205=3,TRUNC($AA$6,-3))))</f>
        <v>0</v>
      </c>
      <c r="AB205">
        <f ca="1">IF(OR(AC$8=0,L204="l",D205&gt;0,U205=-1),0,IF(L204="b",-U205,TRUNC(F204*T205)))</f>
        <v>0</v>
      </c>
      <c r="AC205" t="b">
        <f>IF($D205=1,SUM(AB$13:AB203)-SUM(AC$13:AC203),IF($D205=2,$AA$5,IF($D205=3,TRUNC($AA$5,-3))))</f>
        <v>0</v>
      </c>
    </row>
    <row r="206" spans="3:29" ht="15" customHeight="1" x14ac:dyDescent="0.15">
      <c r="C206" s="182"/>
      <c r="D206" s="210"/>
      <c r="E206" s="184"/>
      <c r="F206" s="227"/>
      <c r="G206" s="297" t="str">
        <f ca="1">IF(OR(AC$8=0,L206="b"),"",IF(L206="l",0,"("&amp;FIXED(-F206,K207,0)&amp;M206))</f>
        <v/>
      </c>
      <c r="H206" s="183"/>
      <c r="I206" s="185"/>
      <c r="L206" t="str">
        <f t="shared" ca="1" si="31"/>
        <v>b</v>
      </c>
      <c r="M206" t="str">
        <f>")"&amp;REPT(" ",2-K207)&amp;IF(K207=0," ","")</f>
        <v xml:space="preserve">)   </v>
      </c>
      <c r="O206" s="194"/>
      <c r="P206" s="207">
        <f>D206</f>
        <v>0</v>
      </c>
      <c r="Q206" s="207">
        <f t="shared" si="33"/>
        <v>0</v>
      </c>
      <c r="R206" s="300" t="str">
        <f t="shared" ca="1" si="32"/>
        <v/>
      </c>
      <c r="S206" s="304"/>
      <c r="T206" s="149"/>
      <c r="U206" s="206">
        <f ca="1">IF(OR(AC$8=0,SUM(Z207:AC207)=0),1,IF(L206="l","",SUM(AB207:AC207)))</f>
        <v>1</v>
      </c>
      <c r="V206" s="394"/>
      <c r="W206" s="50"/>
      <c r="Z206"/>
    </row>
    <row r="207" spans="3:29" ht="15" customHeight="1" x14ac:dyDescent="0.15">
      <c r="C207" s="186"/>
      <c r="D207" s="205"/>
      <c r="E207" s="188"/>
      <c r="F207" s="226"/>
      <c r="G207" s="296" t="str">
        <f ca="1">IF(L207="b","",IF(L207="l",0,FIXED(F207,K207,0)&amp;M207))</f>
        <v/>
      </c>
      <c r="H207" s="187"/>
      <c r="I207" s="189"/>
      <c r="K207" s="215"/>
      <c r="L207" t="str">
        <f t="shared" ca="1" si="31"/>
        <v>b</v>
      </c>
      <c r="M207" t="str">
        <f>REPT(" ",3-K207)&amp;IF(K207=0," ","")</f>
        <v xml:space="preserve">    </v>
      </c>
      <c r="O207" s="194"/>
      <c r="P207" s="208">
        <f>IF(ISNUMBER(D207),LOOKUP(D207,$AB$5:$AC$7),D207)</f>
        <v>0</v>
      </c>
      <c r="Q207" s="208">
        <f t="shared" si="33"/>
        <v>0</v>
      </c>
      <c r="R207" s="301" t="str">
        <f t="shared" ca="1" si="32"/>
        <v/>
      </c>
      <c r="S207" s="305">
        <f>H207</f>
        <v>0</v>
      </c>
      <c r="T207" s="150"/>
      <c r="U207" s="216">
        <f ca="1">IF(L207="l","",IF(D207+F207&gt;0,SUM(Z207:AA207),-1))</f>
        <v>-1</v>
      </c>
      <c r="V207" s="395"/>
      <c r="W207" s="107"/>
      <c r="Z207" s="114">
        <f>IF(D207&gt;0,0,TRUNC(F207*T207+Y207*X207))</f>
        <v>0</v>
      </c>
      <c r="AA207" t="b">
        <f>IF($D207=1,SUM(Z$13:Z205)-SUM(AA$13:AA205),IF($D207=2,$AA$6,IF($D207=3,TRUNC($AA$6,-3))))</f>
        <v>0</v>
      </c>
      <c r="AB207">
        <f ca="1">IF(OR(AC$8=0,L206="l",D207&gt;0,U207=-1),0,IF(L206="b",-U207,TRUNC(F206*T207)))</f>
        <v>0</v>
      </c>
      <c r="AC207" t="b">
        <f>IF($D207=1,SUM(AB$13:AB205)-SUM(AC$13:AC205),IF($D207=2,$AA$5,IF($D207=3,TRUNC($AA$5,-3))))</f>
        <v>0</v>
      </c>
    </row>
    <row r="208" spans="3:29" ht="15" customHeight="1" x14ac:dyDescent="0.15">
      <c r="C208" s="182"/>
      <c r="D208" s="210"/>
      <c r="E208" s="184"/>
      <c r="F208" s="227"/>
      <c r="G208" s="297" t="str">
        <f ca="1">IF(OR(AC$8=0,L208="b"),"",IF(L208="l",0,"("&amp;FIXED(-F208,K209,0)&amp;M208))</f>
        <v/>
      </c>
      <c r="H208" s="183"/>
      <c r="I208" s="185"/>
      <c r="L208" t="str">
        <f t="shared" ca="1" si="31"/>
        <v>b</v>
      </c>
      <c r="M208" t="str">
        <f>")"&amp;REPT(" ",2-K209)&amp;IF(K209=0," ","")</f>
        <v xml:space="preserve">)   </v>
      </c>
      <c r="O208" s="182"/>
      <c r="P208" s="207">
        <f>D208</f>
        <v>0</v>
      </c>
      <c r="Q208" s="207">
        <f t="shared" si="33"/>
        <v>0</v>
      </c>
      <c r="R208" s="300" t="str">
        <f t="shared" ca="1" si="32"/>
        <v/>
      </c>
      <c r="S208" s="304"/>
      <c r="T208" s="149"/>
      <c r="U208" s="206">
        <f ca="1">IF(OR(AC$8=0,SUM(Z209:AC209)=0),1,IF(L208="l","",SUM(AB209:AC209)))</f>
        <v>1</v>
      </c>
      <c r="V208" s="394"/>
      <c r="W208" s="50"/>
      <c r="Z208"/>
    </row>
    <row r="209" spans="3:29" ht="15" customHeight="1" x14ac:dyDescent="0.15">
      <c r="C209" s="186"/>
      <c r="D209" s="205"/>
      <c r="E209" s="188"/>
      <c r="F209" s="226"/>
      <c r="G209" s="296" t="str">
        <f ca="1">IF(L209="b","",IF(L209="l",0,FIXED(F209,K209,0)&amp;M209))</f>
        <v/>
      </c>
      <c r="H209" s="187"/>
      <c r="I209" s="189"/>
      <c r="K209" s="215"/>
      <c r="L209" t="str">
        <f t="shared" ca="1" si="31"/>
        <v>b</v>
      </c>
      <c r="M209" t="str">
        <f>REPT(" ",3-K209)&amp;IF(K209=0," ","")</f>
        <v xml:space="preserve">    </v>
      </c>
      <c r="O209" s="182"/>
      <c r="P209" s="208">
        <f>IF(ISNUMBER(D209),LOOKUP(D209,$AB$5:$AC$7),D209)</f>
        <v>0</v>
      </c>
      <c r="Q209" s="208">
        <f t="shared" si="33"/>
        <v>0</v>
      </c>
      <c r="R209" s="301" t="str">
        <f t="shared" ca="1" si="32"/>
        <v/>
      </c>
      <c r="S209" s="305">
        <f>H209</f>
        <v>0</v>
      </c>
      <c r="T209" s="150"/>
      <c r="U209" s="216">
        <f ca="1">IF(L209="l","",IF(D209+F209&gt;0,SUM(Z209:AA209),-1))</f>
        <v>-1</v>
      </c>
      <c r="V209" s="395"/>
      <c r="W209" s="107"/>
      <c r="Z209" s="114">
        <f>IF(D209&gt;0,0,TRUNC(F209*T209+Y209*X209))</f>
        <v>0</v>
      </c>
      <c r="AA209" t="b">
        <f>IF($D209=1,SUM(Z$13:Z207)-SUM(AA$13:AA207),IF($D209=2,$AA$6,IF($D209=3,TRUNC($AA$6,-3))))</f>
        <v>0</v>
      </c>
      <c r="AB209">
        <f ca="1">IF(OR(AC$8=0,L208="l",D209&gt;0,U209=-1),0,IF(L208="b",-U209,TRUNC(F208*T209)))</f>
        <v>0</v>
      </c>
      <c r="AC209" t="b">
        <f>IF($D209=1,SUM(AB$13:AB207)-SUM(AC$13:AC207),IF($D209=2,$AA$5,IF($D209=3,TRUNC($AA$5,-3))))</f>
        <v>0</v>
      </c>
    </row>
    <row r="210" spans="3:29" ht="15" customHeight="1" x14ac:dyDescent="0.15">
      <c r="C210" s="182"/>
      <c r="D210" s="210"/>
      <c r="E210" s="184"/>
      <c r="F210" s="227"/>
      <c r="G210" s="297" t="str">
        <f ca="1">IF(OR(AC$8=0,L210="b"),"",IF(L210="l",0,"("&amp;FIXED(-F210,K211,0)&amp;M210))</f>
        <v/>
      </c>
      <c r="H210" s="183"/>
      <c r="I210" s="185"/>
      <c r="L210" t="str">
        <f t="shared" ca="1" si="31"/>
        <v>b</v>
      </c>
      <c r="M210" t="str">
        <f>")"&amp;REPT(" ",2-K211)&amp;IF(K211=0," ","")</f>
        <v xml:space="preserve">)   </v>
      </c>
      <c r="O210" s="182"/>
      <c r="P210" s="207">
        <f>D210</f>
        <v>0</v>
      </c>
      <c r="Q210" s="207">
        <f t="shared" si="33"/>
        <v>0</v>
      </c>
      <c r="R210" s="300" t="str">
        <f t="shared" ca="1" si="32"/>
        <v/>
      </c>
      <c r="S210" s="304"/>
      <c r="T210" s="149"/>
      <c r="U210" s="206">
        <f ca="1">IF(OR(AC$8=0,SUM(Z211:AC211)=0),1,IF(L210="l","",SUM(AB211:AC211)))</f>
        <v>1</v>
      </c>
      <c r="V210" s="394"/>
      <c r="W210" s="50"/>
      <c r="Z210"/>
    </row>
    <row r="211" spans="3:29" ht="15" customHeight="1" x14ac:dyDescent="0.15">
      <c r="C211" s="186"/>
      <c r="D211" s="205"/>
      <c r="E211" s="188"/>
      <c r="F211" s="226"/>
      <c r="G211" s="296" t="str">
        <f ca="1">IF(L211="b","",IF(L211="l",0,FIXED(F211,K211,0)&amp;M211))</f>
        <v/>
      </c>
      <c r="H211" s="187"/>
      <c r="I211" s="189"/>
      <c r="K211" s="215"/>
      <c r="L211" t="str">
        <f t="shared" ca="1" si="31"/>
        <v>b</v>
      </c>
      <c r="M211" t="str">
        <f>REPT(" ",3-K211)&amp;IF(K211=0," ","")</f>
        <v xml:space="preserve">    </v>
      </c>
      <c r="O211" s="182"/>
      <c r="P211" s="208">
        <f>IF(ISNUMBER(D211),LOOKUP(D211,$AB$5:$AC$7),D211)</f>
        <v>0</v>
      </c>
      <c r="Q211" s="208">
        <f t="shared" si="33"/>
        <v>0</v>
      </c>
      <c r="R211" s="301" t="str">
        <f t="shared" ca="1" si="32"/>
        <v/>
      </c>
      <c r="S211" s="305">
        <f>H211</f>
        <v>0</v>
      </c>
      <c r="T211" s="150"/>
      <c r="U211" s="216">
        <f ca="1">IF(L211="l","",IF(D211+F211&gt;0,SUM(Z211:AA211),-1))</f>
        <v>-1</v>
      </c>
      <c r="V211" s="395"/>
      <c r="W211" s="107"/>
      <c r="Z211" s="114">
        <f>IF(D211&gt;0,0,TRUNC(F211*T211+Y211*X211))</f>
        <v>0</v>
      </c>
      <c r="AA211" t="b">
        <f>IF($D211=1,SUM(Z$13:Z209)-SUM(AA$13:AA209),IF($D211=2,$AA$6,IF($D211=3,TRUNC($AA$6,-3))))</f>
        <v>0</v>
      </c>
      <c r="AB211">
        <f ca="1">IF(OR(AC$8=0,L210="l",D211&gt;0,U211=-1),0,IF(L210="b",-U211,TRUNC(F210*T211)))</f>
        <v>0</v>
      </c>
      <c r="AC211" t="b">
        <f>IF($D211=1,SUM(AB$13:AB209)-SUM(AC$13:AC209),IF($D211=2,$AA$5,IF($D211=3,TRUNC($AA$5,-3))))</f>
        <v>0</v>
      </c>
    </row>
    <row r="212" spans="3:29" ht="15" customHeight="1" x14ac:dyDescent="0.15">
      <c r="C212" s="182"/>
      <c r="D212" s="210"/>
      <c r="E212" s="184"/>
      <c r="F212" s="227"/>
      <c r="G212" s="297" t="str">
        <f ca="1">IF(OR(AC$8=0,L212="b"),"",IF(L212="l",0,"("&amp;FIXED(-F212,K213,0)&amp;M212))</f>
        <v/>
      </c>
      <c r="H212" s="183"/>
      <c r="I212" s="185"/>
      <c r="L212" t="str">
        <f t="shared" ca="1" si="31"/>
        <v>b</v>
      </c>
      <c r="M212" t="str">
        <f>")"&amp;REPT(" ",2-K213)&amp;IF(K213=0," ","")</f>
        <v xml:space="preserve">)   </v>
      </c>
      <c r="O212" s="182"/>
      <c r="P212" s="207">
        <f>D212</f>
        <v>0</v>
      </c>
      <c r="Q212" s="207">
        <f t="shared" si="33"/>
        <v>0</v>
      </c>
      <c r="R212" s="300" t="str">
        <f t="shared" ca="1" si="32"/>
        <v/>
      </c>
      <c r="S212" s="304"/>
      <c r="T212" s="149"/>
      <c r="U212" s="206">
        <f ca="1">IF(OR(AC$8=0,SUM(Z213:AC213)=0),1,IF(L212="l","",SUM(AB213:AC213)))</f>
        <v>1</v>
      </c>
      <c r="V212" s="394"/>
      <c r="W212" s="50"/>
      <c r="Z212"/>
    </row>
    <row r="213" spans="3:29" ht="15" customHeight="1" thickBot="1" x14ac:dyDescent="0.2">
      <c r="C213" s="190"/>
      <c r="D213" s="211"/>
      <c r="E213" s="192"/>
      <c r="F213" s="228"/>
      <c r="G213" s="299" t="str">
        <f ca="1">IF(L213="b","",IF(L213="l",0,FIXED(F213,K213,0)&amp;M213))</f>
        <v/>
      </c>
      <c r="H213" s="191"/>
      <c r="I213" s="193"/>
      <c r="K213" s="215"/>
      <c r="L213" t="str">
        <f t="shared" ca="1" si="31"/>
        <v>b</v>
      </c>
      <c r="M213" t="str">
        <f>REPT(" ",3-K213)&amp;IF(K213=0," ","")</f>
        <v xml:space="preserve">    </v>
      </c>
      <c r="O213" s="190"/>
      <c r="P213" s="209">
        <f>IF(ISNUMBER(D213),LOOKUP(D213,$AB$5:$AC$7),D213)</f>
        <v>0</v>
      </c>
      <c r="Q213" s="209">
        <f t="shared" si="33"/>
        <v>0</v>
      </c>
      <c r="R213" s="302" t="str">
        <f t="shared" ca="1" si="32"/>
        <v/>
      </c>
      <c r="S213" s="306">
        <f>H213</f>
        <v>0</v>
      </c>
      <c r="T213" s="151"/>
      <c r="U213" s="217">
        <f ca="1">IF(L213="l","",IF(D213+F213&gt;0,SUM(Z213:AA213),-1))</f>
        <v>-1</v>
      </c>
      <c r="V213" s="396"/>
      <c r="W213" s="55"/>
      <c r="Z213" s="114">
        <f>IF(D213&gt;0,0,TRUNC(F213*T213+Y213*X213))</f>
        <v>0</v>
      </c>
      <c r="AA213" t="b">
        <f>IF($D213=1,SUM(Z$13:Z211)-SUM(AA$13:AA211),IF($D213=2,$AA$6,IF($D213=3,TRUNC($AA$6,-3))))</f>
        <v>0</v>
      </c>
      <c r="AB213">
        <f ca="1">IF(OR(AC$8=0,L212="l",D213&gt;0,U213=-1),0,IF(L212="b",-U213,TRUNC(F212*T213)))</f>
        <v>0</v>
      </c>
      <c r="AC213" t="b">
        <f>IF($D213=1,SUM(AB$13:AB211)-SUM(AC$13:AC211),IF($D213=2,$AA$5,IF($D213=3,TRUNC($AA$5,-3))))</f>
        <v>0</v>
      </c>
    </row>
    <row r="216" spans="3:29" x14ac:dyDescent="0.15">
      <c r="D216" s="530"/>
      <c r="E216" s="411" t="s">
        <v>606</v>
      </c>
      <c r="F216" s="227"/>
      <c r="G216" s="531" t="str">
        <f ca="1">IF(OR(AC$8=0,L216="b"),"",IF(L216="l",0,"("&amp;FIXED(-F216,K217,0)&amp;M216))</f>
        <v/>
      </c>
      <c r="H216" s="532"/>
      <c r="I216" s="411"/>
      <c r="L216" t="str">
        <f ca="1">CELL("type",F216)</f>
        <v>b</v>
      </c>
      <c r="M216" t="str">
        <f>")"&amp;REPT(" ",2-K217)&amp;IF(K217=0," ","")</f>
        <v xml:space="preserve">)   </v>
      </c>
      <c r="O216" s="532"/>
      <c r="P216" s="533">
        <f>D216</f>
        <v>0</v>
      </c>
      <c r="Q216" s="533" t="str">
        <f>E216</f>
        <v>光電式</v>
      </c>
      <c r="R216" s="534" t="str">
        <f ca="1">G216</f>
        <v/>
      </c>
      <c r="S216" s="535"/>
      <c r="T216" s="536"/>
      <c r="U216" s="537">
        <f>IF(OR(AC$8=0,SUM(Z217:AC217)=0),1,IF(L216="l","",SUM(AB217:AC217)))</f>
        <v>1</v>
      </c>
      <c r="V216" s="538"/>
      <c r="W216" s="21"/>
    </row>
    <row r="217" spans="3:29" x14ac:dyDescent="0.15">
      <c r="D217" s="530" t="s">
        <v>455</v>
      </c>
      <c r="E217" s="411" t="s">
        <v>611</v>
      </c>
      <c r="F217" s="227">
        <v>1</v>
      </c>
      <c r="G217" s="539" t="str">
        <f ca="1">IF(L217="b","",IF(L217="l",0,FIXED(F217,K217,0)&amp;M217))</f>
        <v xml:space="preserve">1    </v>
      </c>
      <c r="H217" s="532" t="s">
        <v>232</v>
      </c>
      <c r="I217" s="411"/>
      <c r="K217" s="215"/>
      <c r="L217" t="str">
        <f ca="1">CELL("type",F217)</f>
        <v>v</v>
      </c>
      <c r="M217" t="str">
        <f>REPT(" ",3-K217)&amp;IF(K217=0," ","")</f>
        <v xml:space="preserve">    </v>
      </c>
      <c r="O217" s="532"/>
      <c r="P217" s="533" t="str">
        <f>IF(ISNUMBER(D217),LOOKUP(D217,$AB$5:$AC$7),D217)</f>
        <v>自 動 点 滅 器</v>
      </c>
      <c r="Q217" s="533" t="str">
        <f>E217</f>
        <v>AS AC100V 3A</v>
      </c>
      <c r="R217" s="540" t="str">
        <f ca="1">G217</f>
        <v xml:space="preserve">1    </v>
      </c>
      <c r="S217" s="535" t="str">
        <f>H217</f>
        <v>個</v>
      </c>
      <c r="T217" s="536">
        <v>3180</v>
      </c>
      <c r="U217" s="541">
        <f ca="1">IF(L217="l","",IF(D217+F217&gt;0,SUM(Z217:AA217),-1))</f>
        <v>0</v>
      </c>
      <c r="V217" s="538">
        <v>308</v>
      </c>
      <c r="W217" s="21"/>
    </row>
    <row r="219" spans="3:29" x14ac:dyDescent="0.15">
      <c r="E219" s="411"/>
    </row>
    <row r="220" spans="3:29" x14ac:dyDescent="0.15">
      <c r="E220" s="411"/>
    </row>
    <row r="221" spans="3:29" x14ac:dyDescent="0.15">
      <c r="E221" s="411"/>
    </row>
    <row r="222" spans="3:29" x14ac:dyDescent="0.15">
      <c r="E222" s="411"/>
    </row>
    <row r="223" spans="3:29" x14ac:dyDescent="0.15">
      <c r="E223" s="411"/>
    </row>
    <row r="224" spans="3:29" x14ac:dyDescent="0.15">
      <c r="E224" s="411"/>
    </row>
    <row r="225" spans="5:5" x14ac:dyDescent="0.15">
      <c r="E225" s="411"/>
    </row>
    <row r="226" spans="5:5" x14ac:dyDescent="0.15">
      <c r="E226" s="411"/>
    </row>
    <row r="227" spans="5:5" x14ac:dyDescent="0.15">
      <c r="E227" s="411"/>
    </row>
    <row r="228" spans="5:5" x14ac:dyDescent="0.15">
      <c r="E228" s="411"/>
    </row>
    <row r="229" spans="5:5" x14ac:dyDescent="0.15">
      <c r="E229" s="411"/>
    </row>
    <row r="230" spans="5:5" x14ac:dyDescent="0.15">
      <c r="E230" s="411"/>
    </row>
    <row r="231" spans="5:5" x14ac:dyDescent="0.15">
      <c r="E231" s="411"/>
    </row>
    <row r="232" spans="5:5" x14ac:dyDescent="0.15">
      <c r="E232" s="411"/>
    </row>
    <row r="233" spans="5:5" x14ac:dyDescent="0.15">
      <c r="E233" s="411"/>
    </row>
    <row r="234" spans="5:5" x14ac:dyDescent="0.15">
      <c r="E234" s="411"/>
    </row>
    <row r="235" spans="5:5" x14ac:dyDescent="0.15">
      <c r="E235" s="411"/>
    </row>
    <row r="236" spans="5:5" x14ac:dyDescent="0.15">
      <c r="E236" s="411"/>
    </row>
    <row r="237" spans="5:5" x14ac:dyDescent="0.15">
      <c r="E237" s="411"/>
    </row>
    <row r="238" spans="5:5" x14ac:dyDescent="0.15">
      <c r="E238" s="411"/>
    </row>
    <row r="239" spans="5:5" x14ac:dyDescent="0.15">
      <c r="E239" s="411"/>
    </row>
    <row r="240" spans="5:5" x14ac:dyDescent="0.15">
      <c r="E240" s="411"/>
    </row>
    <row r="241" spans="5:5" x14ac:dyDescent="0.15">
      <c r="E241" s="411"/>
    </row>
    <row r="242" spans="5:5" x14ac:dyDescent="0.15">
      <c r="E242" s="411"/>
    </row>
    <row r="243" spans="5:5" x14ac:dyDescent="0.15">
      <c r="E243" s="411"/>
    </row>
    <row r="244" spans="5:5" x14ac:dyDescent="0.15">
      <c r="E244" s="411"/>
    </row>
  </sheetData>
  <mergeCells count="6">
    <mergeCell ref="O145:O147"/>
    <mergeCell ref="V145:V147"/>
    <mergeCell ref="V9:V11"/>
    <mergeCell ref="O9:O11"/>
    <mergeCell ref="O75:O77"/>
    <mergeCell ref="V75:V77"/>
  </mergeCells>
  <phoneticPr fontId="12"/>
  <conditionalFormatting sqref="O167:O169 O199 O201 O203 O205 O207 O195 O73 O185 O191 O171:O178 O193 O189 O187 O153:O160 O197 O78:O87 O90:O91 O96:O141 O70:O71 O58:O65 O13:O48">
    <cfRule type="expression" dxfId="20" priority="18" stopIfTrue="1">
      <formula>D13=1</formula>
    </cfRule>
  </conditionalFormatting>
  <conditionalFormatting sqref="O88:O89">
    <cfRule type="expression" dxfId="19" priority="17" stopIfTrue="1">
      <formula>D88=1</formula>
    </cfRule>
  </conditionalFormatting>
  <conditionalFormatting sqref="O90:O91">
    <cfRule type="expression" dxfId="18" priority="16" stopIfTrue="1">
      <formula>D90=1</formula>
    </cfRule>
  </conditionalFormatting>
  <conditionalFormatting sqref="O148:O149">
    <cfRule type="expression" dxfId="17" priority="15" stopIfTrue="1">
      <formula>D148=1</formula>
    </cfRule>
  </conditionalFormatting>
  <conditionalFormatting sqref="O86:O87">
    <cfRule type="expression" dxfId="16" priority="14" stopIfTrue="1">
      <formula>D86=1</formula>
    </cfRule>
  </conditionalFormatting>
  <conditionalFormatting sqref="O88:O89">
    <cfRule type="expression" dxfId="15" priority="13" stopIfTrue="1">
      <formula>D88=1</formula>
    </cfRule>
  </conditionalFormatting>
  <conditionalFormatting sqref="O92:O93">
    <cfRule type="expression" dxfId="14" priority="12" stopIfTrue="1">
      <formula>D92=1</formula>
    </cfRule>
  </conditionalFormatting>
  <conditionalFormatting sqref="O94:O95">
    <cfRule type="expression" dxfId="13" priority="11" stopIfTrue="1">
      <formula>D94=1</formula>
    </cfRule>
  </conditionalFormatting>
  <conditionalFormatting sqref="O66:O67">
    <cfRule type="expression" dxfId="12" priority="10" stopIfTrue="1">
      <formula>D66=1</formula>
    </cfRule>
  </conditionalFormatting>
  <conditionalFormatting sqref="O48:O50">
    <cfRule type="expression" dxfId="11" priority="9" stopIfTrue="1">
      <formula>D48=1</formula>
    </cfRule>
  </conditionalFormatting>
  <conditionalFormatting sqref="O68:O69">
    <cfRule type="expression" dxfId="10" priority="8" stopIfTrue="1">
      <formula>D68=1</formula>
    </cfRule>
  </conditionalFormatting>
  <conditionalFormatting sqref="O50:O53">
    <cfRule type="expression" dxfId="9" priority="7" stopIfTrue="1">
      <formula>D50=1</formula>
    </cfRule>
  </conditionalFormatting>
  <conditionalFormatting sqref="O52:O56">
    <cfRule type="expression" dxfId="8" priority="6" stopIfTrue="1">
      <formula>D52=1</formula>
    </cfRule>
  </conditionalFormatting>
  <conditionalFormatting sqref="O54:O56">
    <cfRule type="expression" dxfId="7" priority="5" stopIfTrue="1">
      <formula>D54=1</formula>
    </cfRule>
  </conditionalFormatting>
  <conditionalFormatting sqref="O56:O57">
    <cfRule type="expression" dxfId="6" priority="4" stopIfTrue="1">
      <formula>D56=1</formula>
    </cfRule>
  </conditionalFormatting>
  <conditionalFormatting sqref="O51">
    <cfRule type="expression" dxfId="5" priority="3" stopIfTrue="1">
      <formula>D51=1</formula>
    </cfRule>
  </conditionalFormatting>
  <conditionalFormatting sqref="O150:O151">
    <cfRule type="expression" dxfId="4" priority="2" stopIfTrue="1">
      <formula>D150=1</formula>
    </cfRule>
  </conditionalFormatting>
  <conditionalFormatting sqref="O216:O217">
    <cfRule type="expression" dxfId="3" priority="1" stopIfTrue="1">
      <formula>D216=1</formula>
    </cfRule>
  </conditionalFormatting>
  <dataValidations count="1">
    <dataValidation imeMode="off" showInputMessage="1" showErrorMessage="1" promptTitle="警告" prompt="計算式が設定されています_x000a_入力を続けますか?" sqref="G78:G143 G12:G73 G148:G213 G216:G217" xr:uid="{00000000-0002-0000-1100-000000000000}"/>
  </dataValidations>
  <pageMargins left="0.70866141732283472" right="0.19685039370078741" top="0.78740157480314965" bottom="0.39370078740157483" header="0" footer="0"/>
  <pageSetup paperSize="9" scale="80" orientation="portrait" blackAndWhite="1"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ransitionEvaluation="1">
    <tabColor indexed="39"/>
  </sheetPr>
  <dimension ref="A1:AD164"/>
  <sheetViews>
    <sheetView view="pageBreakPreview" topLeftCell="J1" zoomScaleNormal="90" zoomScaleSheetLayoutView="100" workbookViewId="0">
      <selection activeCell="B1" sqref="B1"/>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5.625" customWidth="1"/>
    <col min="18" max="18" width="12.125" customWidth="1"/>
    <col min="19" max="19" width="4.625" customWidth="1"/>
    <col min="20" max="20" width="10.625" customWidth="1"/>
    <col min="21" max="21" width="15.625" customWidth="1"/>
    <col min="22" max="22" width="8.625" customWidth="1"/>
    <col min="23" max="23" width="16.625" customWidth="1"/>
    <col min="26" max="26" width="9.625" style="114" customWidth="1"/>
    <col min="27" max="29" width="9.625" customWidth="1"/>
  </cols>
  <sheetData>
    <row r="1" spans="1:30" x14ac:dyDescent="0.15">
      <c r="D1" t="s">
        <v>307</v>
      </c>
      <c r="F1" t="s">
        <v>308</v>
      </c>
    </row>
    <row r="2" spans="1:30" x14ac:dyDescent="0.15">
      <c r="D2" t="s">
        <v>272</v>
      </c>
      <c r="F2" s="224" t="s">
        <v>267</v>
      </c>
    </row>
    <row r="3" spans="1:30" x14ac:dyDescent="0.15">
      <c r="D3" t="s">
        <v>274</v>
      </c>
      <c r="F3" s="224" t="s">
        <v>271</v>
      </c>
    </row>
    <row r="4" spans="1:30" ht="14.25" thickBot="1" x14ac:dyDescent="0.2">
      <c r="C4" t="s">
        <v>214</v>
      </c>
      <c r="D4" t="s">
        <v>273</v>
      </c>
      <c r="F4" s="224" t="s">
        <v>268</v>
      </c>
      <c r="O4" t="s">
        <v>214</v>
      </c>
      <c r="AC4" t="s">
        <v>89</v>
      </c>
    </row>
    <row r="5" spans="1:30" x14ac:dyDescent="0.15">
      <c r="B5" s="100" t="s">
        <v>83</v>
      </c>
      <c r="N5" t="s">
        <v>215</v>
      </c>
      <c r="O5" s="16"/>
      <c r="P5" s="17"/>
      <c r="Q5" s="17"/>
      <c r="R5" s="18"/>
      <c r="S5" s="17"/>
      <c r="T5" s="18"/>
      <c r="U5" s="18"/>
      <c r="V5" s="18"/>
      <c r="W5" s="19"/>
      <c r="Z5" s="100" t="s">
        <v>216</v>
      </c>
      <c r="AA5">
        <f ca="1">SUM(INDIRECT(AD$6))</f>
        <v>0</v>
      </c>
      <c r="AB5">
        <v>1</v>
      </c>
      <c r="AC5" t="s">
        <v>219</v>
      </c>
      <c r="AD5" t="s">
        <v>217</v>
      </c>
    </row>
    <row r="6" spans="1:30" ht="21" customHeight="1" x14ac:dyDescent="0.2">
      <c r="N6" s="284"/>
      <c r="O6" s="486" t="s">
        <v>613</v>
      </c>
      <c r="P6" s="25"/>
      <c r="Q6" s="25"/>
      <c r="R6" s="25"/>
      <c r="S6" s="25"/>
      <c r="T6" s="25"/>
      <c r="U6" s="25"/>
      <c r="V6" s="25"/>
      <c r="W6" s="26"/>
      <c r="Z6" s="100" t="s">
        <v>218</v>
      </c>
      <c r="AA6">
        <f ca="1">SUM(INDIRECT(AD$7))</f>
        <v>502857</v>
      </c>
      <c r="AB6">
        <v>2</v>
      </c>
      <c r="AC6" t="s">
        <v>104</v>
      </c>
      <c r="AD6" t="str">
        <f>"AB10..AB"&amp;FIXED(AA7,0,TRUE)</f>
        <v>AB10..AB143</v>
      </c>
    </row>
    <row r="7" spans="1:30" ht="18.75" x14ac:dyDescent="0.2">
      <c r="C7" s="485" t="s">
        <v>612</v>
      </c>
      <c r="D7" s="101"/>
      <c r="E7" s="101"/>
      <c r="F7" s="101"/>
      <c r="G7" s="101"/>
      <c r="H7" s="101"/>
      <c r="I7" s="101"/>
      <c r="N7" s="285"/>
      <c r="O7" s="283"/>
      <c r="P7" s="20"/>
      <c r="Q7" s="458" t="str">
        <f ca="1">IF(OR(AC8=0,TRUNC(AA5,-3)+TRUNC(AA6,-3)=0),"",TRUNC(AA5,-3))</f>
        <v/>
      </c>
      <c r="R7" s="21"/>
      <c r="S7" s="20"/>
      <c r="T7" s="21"/>
      <c r="U7" s="21"/>
      <c r="V7" s="21"/>
      <c r="W7" s="104"/>
      <c r="Z7" s="100" t="s">
        <v>221</v>
      </c>
      <c r="AA7" s="116">
        <v>143</v>
      </c>
      <c r="AB7">
        <v>3</v>
      </c>
      <c r="AC7" t="s">
        <v>230</v>
      </c>
      <c r="AD7" t="str">
        <f>"Z10..Z"&amp;FIXED(AA7,0,TRUE)</f>
        <v>Z10..Z143</v>
      </c>
    </row>
    <row r="8" spans="1:30" ht="18.75" customHeight="1" thickBot="1" x14ac:dyDescent="0.25">
      <c r="A8" t="b">
        <f>SUM(F13:F73)&gt;0</f>
        <v>1</v>
      </c>
      <c r="B8">
        <f>SUM(A8:A143)</f>
        <v>1</v>
      </c>
      <c r="I8" s="111" t="str">
        <f>"( "&amp;FIXED($A8,0)&amp;" ／ "&amp;FIXED($B$8,0)&amp;" )"</f>
        <v>( 1 ／ 1 )</v>
      </c>
      <c r="N8" s="285"/>
      <c r="O8" s="283"/>
      <c r="P8" s="20"/>
      <c r="Q8" s="459">
        <f ca="1">TRUNC(AA6,-3)</f>
        <v>502000</v>
      </c>
      <c r="R8" s="21"/>
      <c r="S8" s="20"/>
      <c r="T8" s="21"/>
      <c r="U8" s="21"/>
      <c r="V8" s="21"/>
      <c r="W8" s="112" t="str">
        <f>"( "&amp;FIXED($A8,0)&amp;" ／ "&amp;FIXED($B$8,0)&amp;" )"</f>
        <v>( 1 ／ 1 )</v>
      </c>
      <c r="AC8">
        <f>鏡!H2-1</f>
        <v>0</v>
      </c>
      <c r="AD8" t="str">
        <f>"A5..A"&amp;FIXED(AA7,0,TRUE)</f>
        <v>A5..A143</v>
      </c>
    </row>
    <row r="9" spans="1:30" x14ac:dyDescent="0.15">
      <c r="C9" s="16"/>
      <c r="D9" s="102"/>
      <c r="E9" s="102"/>
      <c r="F9" s="18"/>
      <c r="G9" s="102"/>
      <c r="H9" s="102"/>
      <c r="I9" s="48"/>
      <c r="O9" s="756" t="s">
        <v>258</v>
      </c>
      <c r="P9" s="4"/>
      <c r="Q9" s="4"/>
      <c r="R9" s="5"/>
      <c r="S9" s="4"/>
      <c r="T9" s="14" t="s">
        <v>88</v>
      </c>
      <c r="U9" s="15"/>
      <c r="V9" s="755" t="s">
        <v>257</v>
      </c>
      <c r="W9" s="105"/>
    </row>
    <row r="10" spans="1:30"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Z10" t="str">
        <f>IF(AC8=0,"当初","出来高")</f>
        <v>当初</v>
      </c>
      <c r="AB10" t="s">
        <v>216</v>
      </c>
    </row>
    <row r="11" spans="1:30" ht="14.25" thickBot="1" x14ac:dyDescent="0.2">
      <c r="C11" s="71"/>
      <c r="D11" s="40"/>
      <c r="E11" s="40"/>
      <c r="F11" s="36"/>
      <c r="G11" s="40"/>
      <c r="H11" s="40"/>
      <c r="I11" s="52"/>
      <c r="K11" s="1" t="s">
        <v>259</v>
      </c>
      <c r="O11" s="758"/>
      <c r="P11" s="39"/>
      <c r="Q11" s="39"/>
      <c r="R11" s="40"/>
      <c r="S11" s="39"/>
      <c r="T11" s="56" t="s">
        <v>96</v>
      </c>
      <c r="U11" s="56" t="s">
        <v>96</v>
      </c>
      <c r="V11" s="750"/>
      <c r="W11" s="52"/>
      <c r="Z11"/>
    </row>
    <row r="12" spans="1:30" ht="15" customHeight="1" thickTop="1" x14ac:dyDescent="0.15">
      <c r="C12" s="182"/>
      <c r="D12" s="210"/>
      <c r="E12" s="184"/>
      <c r="F12" s="225"/>
      <c r="G12" s="297" t="str">
        <f ca="1">IF(OR(AC$8=0,L12="b"),"",IF(L12="l",0,"("&amp;FIXED(-F12,K13,0)&amp;M12))</f>
        <v/>
      </c>
      <c r="H12" s="183"/>
      <c r="I12" s="185"/>
      <c r="L12" t="str">
        <f t="shared" ref="L12:L45" ca="1" si="0">CELL("type",F12)</f>
        <v>b</v>
      </c>
      <c r="M12" t="str">
        <f>")"&amp;REPT(" ",2-K13)&amp;IF(K13=0," ","")</f>
        <v xml:space="preserve">) </v>
      </c>
      <c r="O12" s="253"/>
      <c r="P12" s="207">
        <f>D12</f>
        <v>0</v>
      </c>
      <c r="Q12" s="207">
        <f>E12</f>
        <v>0</v>
      </c>
      <c r="R12" s="300" t="str">
        <f t="shared" ref="R12:R45" ca="1" si="1">G12</f>
        <v/>
      </c>
      <c r="S12" s="304"/>
      <c r="T12" s="144"/>
      <c r="U12" s="206">
        <f ca="1">IF(OR(AC$8=0,SUM(Z13:AC13)=0),1,IF(L12="l","",SUM(AB13:AC13)))</f>
        <v>1</v>
      </c>
      <c r="V12" s="385"/>
      <c r="W12" s="50"/>
      <c r="Z12"/>
    </row>
    <row r="13" spans="1:30" ht="15" customHeight="1" x14ac:dyDescent="0.15">
      <c r="C13" s="186" t="s">
        <v>615</v>
      </c>
      <c r="D13" s="205" t="s">
        <v>616</v>
      </c>
      <c r="E13" s="188" t="s">
        <v>617</v>
      </c>
      <c r="F13" s="226">
        <v>187</v>
      </c>
      <c r="G13" s="296" t="str">
        <f ca="1">IF(L13="b","",IF(L13="l",0,FIXED(F13,K13,0)&amp;M13))</f>
        <v xml:space="preserve">187.0  </v>
      </c>
      <c r="H13" s="187" t="s">
        <v>229</v>
      </c>
      <c r="I13" s="189"/>
      <c r="K13" s="215">
        <v>1</v>
      </c>
      <c r="L13" t="str">
        <f t="shared" ca="1" si="0"/>
        <v>v</v>
      </c>
      <c r="M13" t="str">
        <f>REPT(" ",3-K13)&amp;IF(K13=0," ","")</f>
        <v xml:space="preserve">  </v>
      </c>
      <c r="O13" s="194" t="s">
        <v>619</v>
      </c>
      <c r="P13" s="208" t="str">
        <f>IF(ISNUMBER(D13),LOOKUP(D13,$AB$5:$AC$7),D13)</f>
        <v>鬼　よ　り　線</v>
      </c>
      <c r="Q13" s="208" t="str">
        <f t="shared" ref="Q13:Q41" si="2">E13</f>
        <v>40㎟ (13/2.0)</v>
      </c>
      <c r="R13" s="301" t="str">
        <f t="shared" ca="1" si="1"/>
        <v xml:space="preserve">187.0  </v>
      </c>
      <c r="S13" s="305" t="str">
        <f>H13</f>
        <v>ｍ</v>
      </c>
      <c r="T13" s="145">
        <v>355</v>
      </c>
      <c r="U13" s="216">
        <f ca="1">IF(L13="l","",IF(D13+F13&gt;0,SUM(Z13:AA13),-1))</f>
        <v>66385</v>
      </c>
      <c r="V13" s="386">
        <v>241</v>
      </c>
      <c r="W13" s="107"/>
      <c r="Z13" s="114">
        <f>IF(D13&gt;0,0,TRUNC(F13*T13+Y13*X13))</f>
        <v>66385</v>
      </c>
      <c r="AA13" t="b">
        <f>IF($D13=1,SUM(Z11:Z$13)-SUM(AA11:AA$13),IF($D13=2,$AA$6,IF($D13=3,TRUNC($AA$6,-3))))</f>
        <v>0</v>
      </c>
      <c r="AB13">
        <f ca="1">IF(OR(AC$8=0,L12="l",D13&gt;0,U13=-1),0,IF(L12="b",-U13,TRUNC(F12*T13)))</f>
        <v>0</v>
      </c>
      <c r="AC13" t="b">
        <f>IF($D13=1,SUM(AB11:AB$13)-SUM(AC11:AC$13),IF($D13=2,$AA$5,IF($D13=3,TRUNC($AA$5,-3))))</f>
        <v>0</v>
      </c>
    </row>
    <row r="14" spans="1:30" ht="15" customHeight="1" x14ac:dyDescent="0.15">
      <c r="C14" s="182"/>
      <c r="D14" s="210"/>
      <c r="E14" s="184"/>
      <c r="F14" s="225"/>
      <c r="G14" s="297" t="str">
        <f ca="1">IF(OR(AC$8=0,L14="b"),"",IF(L14="l",0,"("&amp;FIXED(-F14,K15,0)&amp;M14))</f>
        <v/>
      </c>
      <c r="H14" s="183"/>
      <c r="I14" s="185"/>
      <c r="L14" t="str">
        <f t="shared" ca="1" si="0"/>
        <v>b</v>
      </c>
      <c r="M14" t="str">
        <f>")"&amp;REPT(" ",2-K15)&amp;IF(K15=0," ","")</f>
        <v xml:space="preserve">) </v>
      </c>
      <c r="O14" s="194" t="s">
        <v>620</v>
      </c>
      <c r="P14" s="207">
        <f>D14</f>
        <v>0</v>
      </c>
      <c r="Q14" s="207">
        <f t="shared" si="2"/>
        <v>0</v>
      </c>
      <c r="R14" s="300" t="str">
        <f t="shared" ca="1" si="1"/>
        <v/>
      </c>
      <c r="S14" s="304"/>
      <c r="T14" s="144"/>
      <c r="U14" s="206">
        <f ca="1">IF(OR(AC$8=0,SUM(Z15:AC15)=0),1,IF(L14="l","",SUM(AB15:AC15)))</f>
        <v>1</v>
      </c>
      <c r="V14" s="385"/>
      <c r="W14" s="50"/>
      <c r="Z14"/>
    </row>
    <row r="15" spans="1:30" ht="15" customHeight="1" x14ac:dyDescent="0.15">
      <c r="C15" s="186"/>
      <c r="D15" s="205" t="s">
        <v>241</v>
      </c>
      <c r="E15" s="188" t="s">
        <v>618</v>
      </c>
      <c r="F15" s="226">
        <v>35.9</v>
      </c>
      <c r="G15" s="296" t="str">
        <f ca="1">IF(L15="b","",IF(L15="l",0,FIXED(F15,K15,0)&amp;M15))</f>
        <v xml:space="preserve">35.9  </v>
      </c>
      <c r="H15" s="187" t="s">
        <v>229</v>
      </c>
      <c r="I15" s="189"/>
      <c r="K15" s="215">
        <v>1</v>
      </c>
      <c r="L15" t="str">
        <f t="shared" ca="1" si="0"/>
        <v>v</v>
      </c>
      <c r="M15" t="str">
        <f>REPT(" ",3-K15)&amp;IF(K15=0," ","")</f>
        <v xml:space="preserve">  </v>
      </c>
      <c r="O15" s="194" t="s">
        <v>621</v>
      </c>
      <c r="P15" s="208" t="str">
        <f>IF(ISNUMBER(D15),LOOKUP(D15,$AB$5:$AC$7),D15)</f>
        <v>〃</v>
      </c>
      <c r="Q15" s="208" t="str">
        <f t="shared" si="2"/>
        <v>60㎟ (19/2.0)</v>
      </c>
      <c r="R15" s="301" t="str">
        <f t="shared" ca="1" si="1"/>
        <v xml:space="preserve">35.9  </v>
      </c>
      <c r="S15" s="305" t="str">
        <f>H15</f>
        <v>ｍ</v>
      </c>
      <c r="T15" s="145">
        <v>516</v>
      </c>
      <c r="U15" s="216">
        <f ca="1">IF(L15="l","",IF(D15+F15&gt;0,SUM(Z15:AA15),-1))</f>
        <v>18524</v>
      </c>
      <c r="V15" s="386">
        <v>242</v>
      </c>
      <c r="W15" s="107"/>
      <c r="Z15" s="114">
        <f>IF(D15&gt;0,0,TRUNC(F15*T15+Y15*X15))</f>
        <v>18524</v>
      </c>
      <c r="AA15" t="b">
        <f>IF($D15=1,SUM(Z$13:Z13)-SUM(AA$13:AA13),IF($D15=2,$AA$6,IF($D15=3,TRUNC($AA$6,-3))))</f>
        <v>0</v>
      </c>
      <c r="AB15">
        <f ca="1">IF(OR(AC$8=0,L14="l",D15&gt;0,U15=-1),0,IF(L14="b",-U15,TRUNC(F14*T15)))</f>
        <v>0</v>
      </c>
      <c r="AC15" t="b">
        <f>IF($D15=1,SUM(AB$13:AB13)-SUM(AC$13:AC13),IF($D15=2,$AA$5,IF($D15=3,TRUNC($AA$5,-3))))</f>
        <v>0</v>
      </c>
    </row>
    <row r="16" spans="1:30" ht="15" customHeight="1" x14ac:dyDescent="0.15">
      <c r="C16" s="182"/>
      <c r="D16" s="210"/>
      <c r="E16" s="184"/>
      <c r="F16" s="225"/>
      <c r="G16" s="297" t="str">
        <f ca="1">IF(OR(AC$8=0,L16="b"),"",IF(L16="l",0,"("&amp;FIXED(-F16,K17,0)&amp;M16))</f>
        <v/>
      </c>
      <c r="H16" s="183"/>
      <c r="I16" s="185"/>
      <c r="L16" t="str">
        <f t="shared" ca="1" si="0"/>
        <v>b</v>
      </c>
      <c r="M16" t="str">
        <f>")"&amp;REPT(" ",2-K17)&amp;IF(K17=0," ","")</f>
        <v xml:space="preserve">)   </v>
      </c>
      <c r="O16" s="194" t="s">
        <v>86</v>
      </c>
      <c r="P16" s="207">
        <f>D16</f>
        <v>0</v>
      </c>
      <c r="Q16" s="207">
        <f t="shared" si="2"/>
        <v>0</v>
      </c>
      <c r="R16" s="300" t="str">
        <f t="shared" ca="1" si="1"/>
        <v/>
      </c>
      <c r="S16" s="304"/>
      <c r="T16" s="144"/>
      <c r="U16" s="206">
        <f ca="1">IF(OR(AC$8=0,SUM(Z17:AC17)=0),1,IF(L16="l","",SUM(AB17:AC17)))</f>
        <v>1</v>
      </c>
      <c r="V16" s="385"/>
      <c r="W16" s="197" t="str">
        <f>IF(OR(AC$8=0,Y16+Y17=0),"",TEXT(-Y16,"(#,0)"))</f>
        <v/>
      </c>
      <c r="Z16"/>
    </row>
    <row r="17" spans="3:29" ht="15" customHeight="1" x14ac:dyDescent="0.15">
      <c r="C17" s="186"/>
      <c r="D17" s="205"/>
      <c r="E17" s="188"/>
      <c r="F17" s="226"/>
      <c r="G17" s="296" t="str">
        <f ca="1">IF(L17="b","",IF(L17="l",0,FIXED(F17,K17,0)&amp;M17))</f>
        <v/>
      </c>
      <c r="H17" s="187"/>
      <c r="I17" s="189"/>
      <c r="K17" s="215"/>
      <c r="L17" t="str">
        <f t="shared" ca="1" si="0"/>
        <v>b</v>
      </c>
      <c r="M17" t="str">
        <f>REPT(" ",3-K17)&amp;IF(K17=0," ","")</f>
        <v xml:space="preserve">    </v>
      </c>
      <c r="O17" s="194"/>
      <c r="P17" s="208">
        <f>IF(ISNUMBER(D17),LOOKUP(D17,$AB$5:$AC$7),D17)</f>
        <v>0</v>
      </c>
      <c r="Q17" s="208">
        <f t="shared" si="2"/>
        <v>0</v>
      </c>
      <c r="R17" s="301" t="str">
        <f t="shared" ca="1" si="1"/>
        <v/>
      </c>
      <c r="S17" s="305">
        <f>H17</f>
        <v>0</v>
      </c>
      <c r="T17" s="145"/>
      <c r="U17" s="216">
        <f ca="1">IF(L17="l","",IF(D17+F17&gt;0,SUM(Z17:AA17),-1))</f>
        <v>-1</v>
      </c>
      <c r="V17" s="386"/>
      <c r="W17" s="142"/>
      <c r="Y17" s="114"/>
      <c r="Z17" s="114">
        <f>IF(D17&gt;0,0,TRUNC(F17*T17+Y17*X17))</f>
        <v>0</v>
      </c>
      <c r="AA17" t="b">
        <f>IF($D17=1,SUM(Z$13:Z15)-SUM(AA$13:AA15),IF($D17=2,$AA$6,IF($D17=3,TRUNC($AA$6,-3))))</f>
        <v>0</v>
      </c>
      <c r="AB17">
        <f ca="1">IF(OR(AC$8=0,L16="l",D17&gt;0,U17=-1),0,IF(L16="b",-U17,TRUNC(F16*T17)))</f>
        <v>0</v>
      </c>
      <c r="AC17" t="b">
        <f>IF($D17=1,SUM(AB$13:AB15)-SUM(AC$13:AC15),IF($D17=2,$AA$5,IF($D17=3,TRUNC($AA$5,-3))))</f>
        <v>0</v>
      </c>
    </row>
    <row r="18" spans="3:29" ht="15" customHeight="1" x14ac:dyDescent="0.15">
      <c r="C18" s="182"/>
      <c r="D18" s="210"/>
      <c r="E18" s="184"/>
      <c r="F18" s="227"/>
      <c r="G18" s="297" t="str">
        <f ca="1">IF(OR(AC$8=0,L18="b"),"",IF(L18="l",0,"("&amp;FIXED(-F18,K19,0)&amp;M18))</f>
        <v/>
      </c>
      <c r="H18" s="183"/>
      <c r="I18" s="185"/>
      <c r="L18" t="str">
        <f t="shared" ca="1" si="0"/>
        <v>b</v>
      </c>
      <c r="M18" t="str">
        <f>")"&amp;REPT(" ",2-K19)&amp;IF(K19=0," ","")</f>
        <v xml:space="preserve">)   </v>
      </c>
      <c r="O18" s="194"/>
      <c r="P18" s="207">
        <f>D18</f>
        <v>0</v>
      </c>
      <c r="Q18" s="207">
        <f t="shared" si="2"/>
        <v>0</v>
      </c>
      <c r="R18" s="300" t="str">
        <f t="shared" ca="1" si="1"/>
        <v/>
      </c>
      <c r="S18" s="304"/>
      <c r="T18" s="144"/>
      <c r="U18" s="206">
        <f ca="1">IF(OR(AC$8=0,SUM(Z19:AC19)=0),1,IF(L18="l","",SUM(AB19:AC19)))</f>
        <v>1</v>
      </c>
      <c r="V18" s="385"/>
      <c r="W18" s="50"/>
      <c r="Z18"/>
    </row>
    <row r="19" spans="3:29" ht="15" customHeight="1" x14ac:dyDescent="0.15">
      <c r="C19" s="186"/>
      <c r="D19" s="205">
        <v>1</v>
      </c>
      <c r="E19" s="188"/>
      <c r="F19" s="226"/>
      <c r="G19" s="296" t="str">
        <f ca="1">IF(L19="b","",IF(L19="l",0,FIXED(F19,K19,0)&amp;M19))</f>
        <v/>
      </c>
      <c r="H19" s="187"/>
      <c r="I19" s="189"/>
      <c r="K19" s="215"/>
      <c r="L19" t="str">
        <f t="shared" ca="1" si="0"/>
        <v>b</v>
      </c>
      <c r="M19" t="str">
        <f>REPT(" ",3-K19)&amp;IF(K19=0," ","")</f>
        <v xml:space="preserve">    </v>
      </c>
      <c r="O19" s="194"/>
      <c r="P19" s="208" t="str">
        <f>IF(ISNUMBER(D19),LOOKUP(D19,$AB$5:$AC$7),D19)</f>
        <v>小    　計</v>
      </c>
      <c r="Q19" s="208">
        <f t="shared" si="2"/>
        <v>0</v>
      </c>
      <c r="R19" s="301" t="str">
        <f t="shared" ca="1" si="1"/>
        <v/>
      </c>
      <c r="S19" s="305">
        <f>H19</f>
        <v>0</v>
      </c>
      <c r="T19" s="145"/>
      <c r="U19" s="216">
        <f ca="1">IF(L19="l","",IF(D19+F19&gt;0,SUM(Z19:AA19),-1))</f>
        <v>84909</v>
      </c>
      <c r="V19" s="386"/>
      <c r="W19" s="107"/>
      <c r="Z19" s="114">
        <f>IF(D19&gt;0,0,TRUNC(F19*T19+Y19*X19))</f>
        <v>0</v>
      </c>
      <c r="AA19">
        <f>IF($D19=1,SUM(Z$13:Z17)-SUM(AA$13:AA17),IF($D19=2,$AA$6,IF($D19=3,TRUNC($AA$6,-3))))</f>
        <v>84909</v>
      </c>
      <c r="AB19">
        <f ca="1">IF(OR(AC$8=0,L18="l",D19&gt;0,U19=-1),0,IF(L18="b",-U19,TRUNC(F18*T19)))</f>
        <v>0</v>
      </c>
      <c r="AC19">
        <f ca="1">IF($D19=1,SUM(AB$13:AB17)-SUM(AC$13:AC17),IF($D19=2,$AA$5,IF($D19=3,TRUNC($AA$5,-3))))</f>
        <v>0</v>
      </c>
    </row>
    <row r="20" spans="3:29" ht="15" customHeight="1" x14ac:dyDescent="0.15">
      <c r="C20" s="182"/>
      <c r="D20" s="210"/>
      <c r="E20" s="184"/>
      <c r="F20" s="227"/>
      <c r="G20" s="297" t="str">
        <f ca="1">IF(OR(AC$8=0,L20="b"),"",IF(L20="l",0,"("&amp;FIXED(-F20,K21,0)&amp;M20))</f>
        <v/>
      </c>
      <c r="H20" s="183"/>
      <c r="I20" s="185"/>
      <c r="L20" t="str">
        <f t="shared" ca="1" si="0"/>
        <v>b</v>
      </c>
      <c r="M20" t="str">
        <f>")"&amp;REPT(" ",2-K21)&amp;IF(K21=0," ","")</f>
        <v xml:space="preserve">) </v>
      </c>
      <c r="O20" s="194"/>
      <c r="P20" s="207">
        <f>D20</f>
        <v>0</v>
      </c>
      <c r="Q20" s="207">
        <f t="shared" si="2"/>
        <v>0</v>
      </c>
      <c r="R20" s="300" t="str">
        <f t="shared" ca="1" si="1"/>
        <v/>
      </c>
      <c r="S20" s="304"/>
      <c r="T20" s="144"/>
      <c r="U20" s="206">
        <f ca="1">IF(OR(AC$8=0,SUM(Z21:AC21)=0),1,IF(L20="l","",SUM(AB21:AC21)))</f>
        <v>1</v>
      </c>
      <c r="V20" s="385"/>
      <c r="W20" s="50"/>
      <c r="Z20"/>
    </row>
    <row r="21" spans="3:29" ht="15" customHeight="1" x14ac:dyDescent="0.15">
      <c r="C21" s="186" t="s">
        <v>12</v>
      </c>
      <c r="D21" s="205" t="s">
        <v>623</v>
      </c>
      <c r="E21" s="188" t="s">
        <v>622</v>
      </c>
      <c r="F21" s="226">
        <v>13.8</v>
      </c>
      <c r="G21" s="296" t="str">
        <f ca="1">IF(L21="b","",IF(L21="l",0,FIXED(F21,K21,0)&amp;M21))</f>
        <v xml:space="preserve">13.8  </v>
      </c>
      <c r="H21" s="187" t="s">
        <v>346</v>
      </c>
      <c r="I21" s="189" t="s">
        <v>2</v>
      </c>
      <c r="K21" s="215">
        <v>1</v>
      </c>
      <c r="L21" t="str">
        <f t="shared" ca="1" si="0"/>
        <v>v</v>
      </c>
      <c r="M21" t="str">
        <f>REPT(" ",3-K21)&amp;IF(K21=0," ","")</f>
        <v xml:space="preserve">  </v>
      </c>
      <c r="O21" s="194"/>
      <c r="P21" s="208" t="str">
        <f>IF(ISNUMBER(D21),LOOKUP(D21,$AB$5:$AC$7),D21)</f>
        <v>硬質ビニル電線管</v>
      </c>
      <c r="Q21" s="208" t="str">
        <f t="shared" si="2"/>
        <v>VE (28)</v>
      </c>
      <c r="R21" s="301" t="str">
        <f t="shared" ca="1" si="1"/>
        <v xml:space="preserve">13.8  </v>
      </c>
      <c r="S21" s="305" t="str">
        <f>H21</f>
        <v>ｍ</v>
      </c>
      <c r="T21" s="145">
        <v>146</v>
      </c>
      <c r="U21" s="216">
        <f ca="1">IF(L21="l","",IF(D21+F21&gt;0,SUM(Z21:AA21),-1))</f>
        <v>2014</v>
      </c>
      <c r="V21" s="386">
        <v>16</v>
      </c>
      <c r="W21" s="107" t="str">
        <f>I21</f>
        <v>屋外露出</v>
      </c>
      <c r="Z21" s="114">
        <f>IF(D21&gt;0,0,TRUNC(F21*T21+Y21*X21))</f>
        <v>2014</v>
      </c>
      <c r="AA21" t="b">
        <f>IF($D21=1,SUM(Z$13:Z19)-SUM(AA$13:AA19),IF($D21=2,$AA$6,IF($D21=3,TRUNC($AA$6,-3))))</f>
        <v>0</v>
      </c>
      <c r="AB21">
        <f ca="1">IF(OR(AC$8=0,L20="l",D21&gt;0,U21=-1),0,IF(L20="b",-U21,TRUNC(F20*T21)))</f>
        <v>0</v>
      </c>
      <c r="AC21" t="b">
        <f>IF($D21=1,SUM(AB$13:AB19)-SUM(AC$13:AC19),IF($D21=2,$AA$5,IF($D21=3,TRUNC($AA$5,-3))))</f>
        <v>0</v>
      </c>
    </row>
    <row r="22" spans="3:29" ht="15" customHeight="1" x14ac:dyDescent="0.15">
      <c r="C22" s="182"/>
      <c r="D22" s="210"/>
      <c r="E22" s="184"/>
      <c r="F22" s="227"/>
      <c r="G22" s="297" t="str">
        <f ca="1">IF(OR(AC$8=0,L22="b"),"",IF(L22="l",0,"("&amp;FIXED(-F22,K23,0)&amp;M22))</f>
        <v/>
      </c>
      <c r="H22" s="183"/>
      <c r="I22" s="185"/>
      <c r="L22" t="str">
        <f t="shared" ref="L22:L27" ca="1" si="3">CELL("type",F22)</f>
        <v>b</v>
      </c>
      <c r="M22" t="str">
        <f>")"&amp;REPT(" ",2-K23)&amp;IF(K23=0," ","")</f>
        <v xml:space="preserve">)   </v>
      </c>
      <c r="O22" s="194" t="s">
        <v>85</v>
      </c>
      <c r="P22" s="207">
        <f>D22</f>
        <v>0</v>
      </c>
      <c r="Q22" s="207">
        <f>E22</f>
        <v>0</v>
      </c>
      <c r="R22" s="300" t="str">
        <f t="shared" ref="R22:R27" ca="1" si="4">G22</f>
        <v/>
      </c>
      <c r="S22" s="304"/>
      <c r="T22" s="144"/>
      <c r="U22" s="206">
        <f ca="1">IF(OR(AC$8=0,SUM(Z23:AC23)=0),1,IF(L22="l","",SUM(AB23:AC23)))</f>
        <v>1</v>
      </c>
      <c r="V22" s="385"/>
      <c r="W22" s="197" t="str">
        <f ca="1">IF(OR(AC$8=0,Y22+Y23=0),"",TEXT(-Y22,"(#,0)"))</f>
        <v/>
      </c>
      <c r="Y22">
        <f ca="1">SUM(AB21)</f>
        <v>0</v>
      </c>
      <c r="Z22"/>
    </row>
    <row r="23" spans="3:29" ht="15" customHeight="1" x14ac:dyDescent="0.15">
      <c r="C23" s="186"/>
      <c r="D23" s="205" t="s">
        <v>233</v>
      </c>
      <c r="E23" s="188" t="s">
        <v>4</v>
      </c>
      <c r="F23" s="226">
        <v>1</v>
      </c>
      <c r="G23" s="296" t="str">
        <f ca="1">IF(L23="b","",IF(L23="l",0,FIXED(F23,K23,0)&amp;M23))</f>
        <v xml:space="preserve">1    </v>
      </c>
      <c r="H23" s="187" t="s">
        <v>99</v>
      </c>
      <c r="I23" s="189"/>
      <c r="K23" s="215"/>
      <c r="L23" t="str">
        <f t="shared" ca="1" si="3"/>
        <v>v</v>
      </c>
      <c r="M23" t="str">
        <f>REPT(" ",3-K23)&amp;IF(K23=0," ","")</f>
        <v xml:space="preserve">    </v>
      </c>
      <c r="O23" s="194"/>
      <c r="P23" s="208" t="str">
        <f>IF(ISNUMBER(D23),LOOKUP(D23,$AB$5:$AC$7),D23)</f>
        <v>付  属  材  料</v>
      </c>
      <c r="Q23" s="208" t="str">
        <f>E23</f>
        <v>上記材料費の 90％</v>
      </c>
      <c r="R23" s="301" t="str">
        <f t="shared" ca="1" si="4"/>
        <v xml:space="preserve">1    </v>
      </c>
      <c r="S23" s="305" t="str">
        <f>H23</f>
        <v>式</v>
      </c>
      <c r="T23" s="145"/>
      <c r="U23" s="216">
        <f ca="1">IF(L23="l","",IF(D23+F23&gt;0,SUM(Z23:AA23),-1))</f>
        <v>1812</v>
      </c>
      <c r="V23" s="386"/>
      <c r="W23" s="142" t="str">
        <f>TEXT(Y23," #,0×")&amp;TEXT(X23,"0.00＝")</f>
        <v xml:space="preserve"> 2,014×0.90＝</v>
      </c>
      <c r="X23">
        <f>VALUE(RIGHT(E23,4))</f>
        <v>0.9</v>
      </c>
      <c r="Y23" s="114">
        <f>SUM(Z21)</f>
        <v>2014</v>
      </c>
      <c r="Z23" s="114">
        <f>IF(D23&gt;0,0,TRUNC(F23*T23+Y23*X23))</f>
        <v>1812</v>
      </c>
      <c r="AA23" t="b">
        <f>IF($D23=1,SUM(Z$13:Z21)-SUM(AA$13:AA21),IF($D23=2,$AA$6,IF($D23=3,TRUNC($AA$6,-3))))</f>
        <v>0</v>
      </c>
      <c r="AB23">
        <f ca="1">IF(OR(AC$8=0,L22="l",D23&gt;0,U23=-1),0,IF(L22="b",-U23,TRUNC(F22*T23)))</f>
        <v>0</v>
      </c>
      <c r="AC23" t="b">
        <f>IF($D23=1,SUM(AB$13:AB21)-SUM(AC$13:AC21),IF($D23=2,$AA$5,IF($D23=3,TRUNC($AA$5,-3))))</f>
        <v>0</v>
      </c>
    </row>
    <row r="24" spans="3:29" ht="15" customHeight="1" x14ac:dyDescent="0.15">
      <c r="C24" s="182"/>
      <c r="D24" s="210"/>
      <c r="E24" s="184"/>
      <c r="F24" s="227"/>
      <c r="G24" s="297" t="str">
        <f ca="1">IF(OR(AC$8=0,L24="b"),"",IF(L24="l",0,"("&amp;FIXED(-F24,K25,0)&amp;M24))</f>
        <v/>
      </c>
      <c r="H24" s="183"/>
      <c r="I24" s="185"/>
      <c r="L24" t="str">
        <f t="shared" ca="1" si="3"/>
        <v>b</v>
      </c>
      <c r="M24" t="str">
        <f>")"&amp;REPT(" ",2-K25)&amp;IF(K25=0," ","")</f>
        <v xml:space="preserve">) </v>
      </c>
      <c r="O24" s="194" t="s">
        <v>86</v>
      </c>
      <c r="P24" s="207">
        <f>D24</f>
        <v>0</v>
      </c>
      <c r="Q24" s="207">
        <f>E24</f>
        <v>0</v>
      </c>
      <c r="R24" s="300" t="str">
        <f t="shared" ca="1" si="4"/>
        <v/>
      </c>
      <c r="S24" s="304"/>
      <c r="T24" s="144"/>
      <c r="U24" s="206">
        <f ca="1">IF(OR(AC$8=0,SUM(Z25:AC25)=0),1,IF(L24="l","",SUM(AB25:AC25)))</f>
        <v>1</v>
      </c>
      <c r="V24" s="385"/>
      <c r="W24" s="50"/>
      <c r="Z24"/>
    </row>
    <row r="25" spans="3:29" ht="15" customHeight="1" x14ac:dyDescent="0.15">
      <c r="C25" s="186"/>
      <c r="D25" s="205" t="s">
        <v>623</v>
      </c>
      <c r="E25" s="188" t="s">
        <v>622</v>
      </c>
      <c r="F25" s="226">
        <v>1.7</v>
      </c>
      <c r="G25" s="296" t="str">
        <f ca="1">IF(L25="b","",IF(L25="l",0,FIXED(F25,K25,0)&amp;M25))</f>
        <v xml:space="preserve">1.7  </v>
      </c>
      <c r="H25" s="187" t="s">
        <v>311</v>
      </c>
      <c r="I25" s="189" t="s">
        <v>342</v>
      </c>
      <c r="K25" s="215">
        <v>1</v>
      </c>
      <c r="L25" t="str">
        <f t="shared" ca="1" si="3"/>
        <v>v</v>
      </c>
      <c r="M25" t="str">
        <f>REPT(" ",3-K25)&amp;IF(K25=0," ","")</f>
        <v xml:space="preserve">  </v>
      </c>
      <c r="O25" s="194"/>
      <c r="P25" s="208" t="str">
        <f>IF(ISNUMBER(D25),LOOKUP(D25,$AB$5:$AC$7),D25)</f>
        <v>硬質ビニル電線管</v>
      </c>
      <c r="Q25" s="208" t="str">
        <f>E25</f>
        <v>VE (28)</v>
      </c>
      <c r="R25" s="301" t="str">
        <f t="shared" ca="1" si="4"/>
        <v xml:space="preserve">1.7  </v>
      </c>
      <c r="S25" s="305" t="str">
        <f>H25</f>
        <v>ｍ</v>
      </c>
      <c r="T25" s="145">
        <v>146</v>
      </c>
      <c r="U25" s="216">
        <f ca="1">IF(L25="l","",IF(D25+F25&gt;0,SUM(Z25:AA25),-1))</f>
        <v>248</v>
      </c>
      <c r="V25" s="386">
        <v>16</v>
      </c>
      <c r="W25" s="107" t="str">
        <f>I25</f>
        <v>地中</v>
      </c>
      <c r="Z25" s="114">
        <f>IF(D25&gt;0,0,TRUNC(F25*T25+Y25*X25))</f>
        <v>248</v>
      </c>
      <c r="AA25" t="b">
        <f>IF($D25=1,SUM(Z$13:Z23)-SUM(AA$13:AA23),IF($D25=2,$AA$6,IF($D25=3,TRUNC($AA$6,-3))))</f>
        <v>0</v>
      </c>
      <c r="AB25">
        <f ca="1">IF(OR(AC$8=0,L24="l",D25&gt;0,U25=-1),0,IF(L24="b",-U25,TRUNC(F24*T25)))</f>
        <v>0</v>
      </c>
      <c r="AC25" t="b">
        <f>IF($D25=1,SUM(AB$13:AB23)-SUM(AC$13:AC23),IF($D25=2,$AA$5,IF($D25=3,TRUNC($AA$5,-3))))</f>
        <v>0</v>
      </c>
    </row>
    <row r="26" spans="3:29" ht="15" customHeight="1" x14ac:dyDescent="0.15">
      <c r="C26" s="182"/>
      <c r="D26" s="210"/>
      <c r="E26" s="184"/>
      <c r="F26" s="227"/>
      <c r="G26" s="297" t="str">
        <f ca="1">IF(OR(AC$8=0,L26="b"),"",IF(L26="l",0,"("&amp;FIXED(-F26,K27,0)&amp;M26))</f>
        <v/>
      </c>
      <c r="H26" s="183"/>
      <c r="I26" s="185"/>
      <c r="L26" t="str">
        <f t="shared" ca="1" si="3"/>
        <v>b</v>
      </c>
      <c r="M26" t="str">
        <f>")"&amp;REPT(" ",2-K27)&amp;IF(K27=0," ","")</f>
        <v xml:space="preserve">)   </v>
      </c>
      <c r="O26" s="194" t="s">
        <v>38</v>
      </c>
      <c r="P26" s="207">
        <f>D26</f>
        <v>0</v>
      </c>
      <c r="Q26" s="207">
        <f>E26</f>
        <v>0</v>
      </c>
      <c r="R26" s="300" t="str">
        <f t="shared" ca="1" si="4"/>
        <v/>
      </c>
      <c r="S26" s="304"/>
      <c r="T26" s="144"/>
      <c r="U26" s="206">
        <f ca="1">IF(OR(AC$8=0,SUM(Z27:AC27)=0),1,IF(L26="l","",SUM(AB27:AC27)))</f>
        <v>1</v>
      </c>
      <c r="V26" s="385"/>
      <c r="W26" s="197" t="str">
        <f ca="1">IF(OR(AC$8=0,Y26+Y27=0),"",TEXT(-Y26,"(#,0)"))</f>
        <v/>
      </c>
      <c r="Y26">
        <f ca="1">SUM(AB25)</f>
        <v>0</v>
      </c>
      <c r="Z26"/>
    </row>
    <row r="27" spans="3:29" ht="15" customHeight="1" x14ac:dyDescent="0.15">
      <c r="C27" s="186"/>
      <c r="D27" s="205" t="s">
        <v>233</v>
      </c>
      <c r="E27" s="188" t="s">
        <v>25</v>
      </c>
      <c r="F27" s="226">
        <v>1</v>
      </c>
      <c r="G27" s="296" t="str">
        <f ca="1">IF(L27="b","",IF(L27="l",0,FIXED(F27,K27,0)&amp;M27))</f>
        <v xml:space="preserve">1    </v>
      </c>
      <c r="H27" s="187" t="s">
        <v>99</v>
      </c>
      <c r="I27" s="189"/>
      <c r="K27" s="215"/>
      <c r="L27" t="str">
        <f t="shared" ca="1" si="3"/>
        <v>v</v>
      </c>
      <c r="M27" t="str">
        <f>REPT(" ",3-K27)&amp;IF(K27=0," ","")</f>
        <v xml:space="preserve">    </v>
      </c>
      <c r="O27" s="194"/>
      <c r="P27" s="208" t="str">
        <f>IF(ISNUMBER(D27),LOOKUP(D27,$AB$5:$AC$7),D27)</f>
        <v>付  属  材  料</v>
      </c>
      <c r="Q27" s="208" t="str">
        <f>E27</f>
        <v>上記材料費の 30％</v>
      </c>
      <c r="R27" s="301" t="str">
        <f t="shared" ca="1" si="4"/>
        <v xml:space="preserve">1    </v>
      </c>
      <c r="S27" s="305" t="str">
        <f>H27</f>
        <v>式</v>
      </c>
      <c r="T27" s="145"/>
      <c r="U27" s="216">
        <f ca="1">IF(L27="l","",IF(D27+F27&gt;0,SUM(Z27:AA27),-1))</f>
        <v>74</v>
      </c>
      <c r="V27" s="386"/>
      <c r="W27" s="142" t="str">
        <f>TEXT(Y27," #,0×")&amp;TEXT(X27,"0.00＝")</f>
        <v xml:space="preserve"> 248×0.30＝</v>
      </c>
      <c r="X27">
        <f>VALUE(RIGHT(E27,4))</f>
        <v>0.3</v>
      </c>
      <c r="Y27" s="114">
        <f>SUM(Z25)</f>
        <v>248</v>
      </c>
      <c r="Z27" s="114">
        <f>IF(D27&gt;0,0,TRUNC(F27*T27+Y27*X27))</f>
        <v>74</v>
      </c>
      <c r="AA27" t="b">
        <f>IF($D27=1,SUM(Z$13:Z25)-SUM(AA$13:AA25),IF($D27=2,$AA$6,IF($D27=3,TRUNC($AA$6,-3))))</f>
        <v>0</v>
      </c>
      <c r="AB27">
        <f ca="1">IF(OR(AC$8=0,L26="l",D27&gt;0,U27=-1),0,IF(L26="b",-U27,TRUNC(F26*T27)))</f>
        <v>0</v>
      </c>
      <c r="AC27" t="b">
        <f>IF($D27=1,SUM(AB$13:AB25)-SUM(AC$13:AC25),IF($D27=2,$AA$5,IF($D27=3,TRUNC($AA$5,-3))))</f>
        <v>0</v>
      </c>
    </row>
    <row r="28" spans="3:29" ht="15" customHeight="1" x14ac:dyDescent="0.15">
      <c r="C28" s="182"/>
      <c r="D28" s="212"/>
      <c r="E28" s="184"/>
      <c r="F28" s="227"/>
      <c r="G28" s="297" t="str">
        <f ca="1">IF(OR(AC$8=0,L28="b"),"",IF(L28="l",0,"("&amp;FIXED(-F28,K29,0)&amp;M28))</f>
        <v/>
      </c>
      <c r="H28" s="183"/>
      <c r="I28" s="185"/>
      <c r="L28" t="str">
        <f t="shared" ca="1" si="0"/>
        <v>b</v>
      </c>
      <c r="M28" t="str">
        <f>")"&amp;REPT(" ",2-K29)&amp;IF(K29=0," ","")</f>
        <v xml:space="preserve">)   </v>
      </c>
      <c r="O28" s="194"/>
      <c r="P28" s="207">
        <f>D28</f>
        <v>0</v>
      </c>
      <c r="Q28" s="207">
        <f t="shared" si="2"/>
        <v>0</v>
      </c>
      <c r="R28" s="300" t="str">
        <f t="shared" ca="1" si="1"/>
        <v/>
      </c>
      <c r="S28" s="304"/>
      <c r="T28" s="144"/>
      <c r="U28" s="206">
        <f ca="1">IF(OR(AC$8=0,SUM(Z29:AC29)=0),1,IF(L28="l","",SUM(AB29:AC29)))</f>
        <v>1</v>
      </c>
      <c r="V28" s="397"/>
      <c r="W28" s="50"/>
      <c r="Z28"/>
    </row>
    <row r="29" spans="3:29" ht="15" customHeight="1" x14ac:dyDescent="0.15">
      <c r="C29" s="186"/>
      <c r="D29" s="213"/>
      <c r="E29" s="188"/>
      <c r="F29" s="226"/>
      <c r="G29" s="296" t="str">
        <f ca="1">IF(L29="b","",IF(L29="l",0,FIXED(F29,K29,0)&amp;M29))</f>
        <v/>
      </c>
      <c r="H29" s="187"/>
      <c r="I29" s="189"/>
      <c r="K29" s="215"/>
      <c r="L29" t="str">
        <f t="shared" ca="1" si="0"/>
        <v>b</v>
      </c>
      <c r="M29" t="str">
        <f>REPT(" ",3-K29)&amp;IF(K29=0," ","")</f>
        <v xml:space="preserve">    </v>
      </c>
      <c r="O29" s="194"/>
      <c r="P29" s="208">
        <f>IF(ISNUMBER(D29),LOOKUP(D29,$AB$5:$AC$7),D29)</f>
        <v>0</v>
      </c>
      <c r="Q29" s="208">
        <f t="shared" si="2"/>
        <v>0</v>
      </c>
      <c r="R29" s="301" t="str">
        <f t="shared" ca="1" si="1"/>
        <v/>
      </c>
      <c r="S29" s="305">
        <f>H29</f>
        <v>0</v>
      </c>
      <c r="T29" s="145"/>
      <c r="U29" s="216">
        <f ca="1">IF(L29="l","",IF(D29+F29&gt;0,SUM(Z29:AA29),-1))</f>
        <v>-1</v>
      </c>
      <c r="V29" s="386"/>
      <c r="W29" s="107"/>
      <c r="Z29" s="114">
        <f>IF(D29&gt;0,0,TRUNC(F29*T29+Y29*X29))</f>
        <v>0</v>
      </c>
      <c r="AA29" t="b">
        <f>IF($D29=1,SUM(Z$13:Z27)-SUM(AA$13:AA27),IF($D29=2,$AA$6,IF($D29=3,TRUNC($AA$6,-3))))</f>
        <v>0</v>
      </c>
      <c r="AB29">
        <f ca="1">IF(OR(AC$8=0,L28="l",D29&gt;0,U29=-1),0,IF(L28="b",-U29,TRUNC(F28*T29)))</f>
        <v>0</v>
      </c>
      <c r="AC29" t="b">
        <f>IF($D29=1,SUM(AB$13:AB27)-SUM(AC$13:AC27),IF($D29=2,$AA$5,IF($D29=3,TRUNC($AA$5,-3))))</f>
        <v>0</v>
      </c>
    </row>
    <row r="30" spans="3:29" ht="15" customHeight="1" x14ac:dyDescent="0.15">
      <c r="C30" s="182"/>
      <c r="D30" s="210"/>
      <c r="E30" s="184"/>
      <c r="F30" s="227"/>
      <c r="G30" s="297" t="str">
        <f ca="1">IF(OR(AC$8=0,L30="b"),"",IF(L30="l",0,"("&amp;FIXED(-F30,K31,0)&amp;M30))</f>
        <v/>
      </c>
      <c r="H30" s="183"/>
      <c r="I30" s="185"/>
      <c r="L30" t="str">
        <f t="shared" ca="1" si="0"/>
        <v>b</v>
      </c>
      <c r="M30" t="str">
        <f>")"&amp;REPT(" ",2-K31)&amp;IF(K31=0," ","")</f>
        <v xml:space="preserve">)   </v>
      </c>
      <c r="O30" s="194"/>
      <c r="P30" s="207">
        <f>D30</f>
        <v>0</v>
      </c>
      <c r="Q30" s="207">
        <f t="shared" si="2"/>
        <v>0</v>
      </c>
      <c r="R30" s="300" t="str">
        <f t="shared" ca="1" si="1"/>
        <v/>
      </c>
      <c r="S30" s="304"/>
      <c r="T30" s="144"/>
      <c r="U30" s="206">
        <f ca="1">IF(OR(AC$8=0,SUM(Z31:AC31)=0),1,IF(L30="l","",SUM(AB31:AC31)))</f>
        <v>1</v>
      </c>
      <c r="V30" s="385"/>
      <c r="W30" s="197" t="str">
        <f>IF(OR(AC$8=0,Y30+Y31=0),"",TEXT(-Y30,"(#,0)"))</f>
        <v/>
      </c>
      <c r="Z30"/>
    </row>
    <row r="31" spans="3:29" ht="15" customHeight="1" x14ac:dyDescent="0.15">
      <c r="C31" s="186"/>
      <c r="D31" s="205">
        <v>1</v>
      </c>
      <c r="E31" s="188"/>
      <c r="F31" s="226"/>
      <c r="G31" s="296" t="str">
        <f ca="1">IF(L31="b","",IF(L31="l",0,FIXED(F31,K31,0)&amp;M31))</f>
        <v/>
      </c>
      <c r="H31" s="187"/>
      <c r="I31" s="189"/>
      <c r="K31" s="215"/>
      <c r="L31" t="str">
        <f t="shared" ca="1" si="0"/>
        <v>b</v>
      </c>
      <c r="M31" t="str">
        <f>REPT(" ",3-K31)&amp;IF(K31=0," ","")</f>
        <v xml:space="preserve">    </v>
      </c>
      <c r="O31" s="194"/>
      <c r="P31" s="208" t="str">
        <f>IF(ISNUMBER(D31),LOOKUP(D31,$AB$5:$AC$7),D31)</f>
        <v>小    　計</v>
      </c>
      <c r="Q31" s="208">
        <f t="shared" si="2"/>
        <v>0</v>
      </c>
      <c r="R31" s="301" t="str">
        <f t="shared" ca="1" si="1"/>
        <v/>
      </c>
      <c r="S31" s="305">
        <f>H31</f>
        <v>0</v>
      </c>
      <c r="T31" s="145"/>
      <c r="U31" s="216">
        <f ca="1">IF(L31="l","",IF(D31+F31&gt;0,SUM(Z31:AA31),-1))</f>
        <v>4148</v>
      </c>
      <c r="V31" s="386"/>
      <c r="W31" s="142"/>
      <c r="Y31" s="114"/>
      <c r="Z31" s="114">
        <f>IF(D31&gt;0,0,TRUNC(F31*T31+Y31*X31))</f>
        <v>0</v>
      </c>
      <c r="AA31">
        <f>IF($D31=1,SUM(Z$13:Z29)-SUM(AA$13:AA29),IF($D31=2,$AA$6,IF($D31=3,TRUNC($AA$6,-3))))</f>
        <v>4148</v>
      </c>
      <c r="AB31">
        <f ca="1">IF(OR(AC$8=0,L30="l",D31&gt;0,U31=-1),0,IF(L30="b",-U31,TRUNC(F30*T31)))</f>
        <v>0</v>
      </c>
      <c r="AC31">
        <f ca="1">IF($D31=1,SUM(AB$13:AB29)-SUM(AC$13:AC29),IF($D31=2,$AA$5,IF($D31=3,TRUNC($AA$5,-3))))</f>
        <v>0</v>
      </c>
    </row>
    <row r="32" spans="3:29" ht="15" customHeight="1" x14ac:dyDescent="0.15">
      <c r="C32" s="182"/>
      <c r="D32" s="210"/>
      <c r="E32" s="184"/>
      <c r="F32" s="227"/>
      <c r="G32" s="297" t="str">
        <f ca="1">IF(OR(AC$8=0,L32="b"),"",IF(L32="l",0,"("&amp;FIXED(-F32,K33,0)&amp;M32))</f>
        <v/>
      </c>
      <c r="H32" s="183"/>
      <c r="I32" s="185"/>
      <c r="L32" t="str">
        <f t="shared" ca="1" si="0"/>
        <v>b</v>
      </c>
      <c r="M32" t="str">
        <f>")"&amp;REPT(" ",2-K33)&amp;IF(K33=0," ","")</f>
        <v xml:space="preserve">)   </v>
      </c>
      <c r="O32" s="194"/>
      <c r="P32" s="207">
        <f>D32</f>
        <v>0</v>
      </c>
      <c r="Q32" s="207">
        <f t="shared" si="2"/>
        <v>0</v>
      </c>
      <c r="R32" s="300" t="str">
        <f t="shared" ca="1" si="1"/>
        <v/>
      </c>
      <c r="S32" s="304"/>
      <c r="T32" s="144"/>
      <c r="U32" s="206">
        <f ca="1">IF(OR(AC$8=0,SUM(Z33:AC33)=0),1,IF(L32="l","",SUM(AB33:AC33)))</f>
        <v>1</v>
      </c>
      <c r="V32" s="397"/>
      <c r="W32" s="50"/>
      <c r="Z32"/>
    </row>
    <row r="33" spans="3:29" ht="15" customHeight="1" x14ac:dyDescent="0.15">
      <c r="C33" s="186" t="s">
        <v>624</v>
      </c>
      <c r="D33" s="205" t="s">
        <v>631</v>
      </c>
      <c r="E33" s="188" t="s">
        <v>625</v>
      </c>
      <c r="F33" s="226">
        <v>5</v>
      </c>
      <c r="G33" s="296" t="str">
        <f ca="1">IF(L33="b","",IF(L33="l",0,FIXED(F33,K33,0)&amp;M33))</f>
        <v xml:space="preserve">5    </v>
      </c>
      <c r="H33" s="187" t="s">
        <v>468</v>
      </c>
      <c r="I33" s="189"/>
      <c r="K33" s="215"/>
      <c r="L33" t="str">
        <f t="shared" ca="1" si="0"/>
        <v>v</v>
      </c>
      <c r="M33" t="str">
        <f>REPT(" ",3-K33)&amp;IF(K33=0," ","")</f>
        <v xml:space="preserve">    </v>
      </c>
      <c r="O33" s="194"/>
      <c r="P33" s="208" t="str">
        <f>IF(ISNUMBER(D33),LOOKUP(D33,$AB$5:$AC$7),D33)</f>
        <v>接地用端子箱</v>
      </c>
      <c r="Q33" s="208" t="str">
        <f t="shared" si="2"/>
        <v>露出型 TB-AS1</v>
      </c>
      <c r="R33" s="301" t="str">
        <f t="shared" ca="1" si="1"/>
        <v xml:space="preserve">5    </v>
      </c>
      <c r="S33" s="305" t="str">
        <f>H33</f>
        <v>面</v>
      </c>
      <c r="T33" s="145">
        <v>23400</v>
      </c>
      <c r="U33" s="216">
        <f ca="1">IF(L33="l","",IF(D33+F33&gt;0,SUM(Z33:AA33),-1))</f>
        <v>117000</v>
      </c>
      <c r="V33" s="386">
        <v>233</v>
      </c>
      <c r="W33" s="107"/>
      <c r="Z33" s="114">
        <f>IF(D33&gt;0,0,TRUNC(F33*T33+Y33*X33))</f>
        <v>117000</v>
      </c>
      <c r="AA33" t="b">
        <f>IF($D33=1,SUM(Z$13:Z31)-SUM(AA$13:AA31),IF($D33=2,$AA$6,IF($D33=3,TRUNC($AA$6,-3))))</f>
        <v>0</v>
      </c>
      <c r="AB33">
        <f ca="1">IF(OR(AC$8=0,L32="l",D33&gt;0,U33=-1),0,IF(L32="b",-U33,TRUNC(F32*T33)))</f>
        <v>0</v>
      </c>
      <c r="AC33" t="b">
        <f>IF($D33=1,SUM(AB$13:AB31)-SUM(AC$13:AC31),IF($D33=2,$AA$5,IF($D33=3,TRUNC($AA$5,-3))))</f>
        <v>0</v>
      </c>
    </row>
    <row r="34" spans="3:29" ht="15" customHeight="1" x14ac:dyDescent="0.15">
      <c r="C34" s="182"/>
      <c r="D34" s="210"/>
      <c r="E34" s="184"/>
      <c r="F34" s="227"/>
      <c r="G34" s="297" t="str">
        <f ca="1">IF(OR(AC$8=0,L34="b"),"",IF(L34="l",0,"("&amp;FIXED(-F34,K35,0)&amp;M34))</f>
        <v/>
      </c>
      <c r="H34" s="183"/>
      <c r="I34" s="185"/>
      <c r="L34" t="str">
        <f t="shared" ca="1" si="0"/>
        <v>b</v>
      </c>
      <c r="M34" t="str">
        <f>")"&amp;REPT(" ",2-K35)&amp;IF(K35=0," ","")</f>
        <v xml:space="preserve">)   </v>
      </c>
      <c r="O34" s="194"/>
      <c r="P34" s="207">
        <f>D34</f>
        <v>0</v>
      </c>
      <c r="Q34" s="207">
        <f t="shared" si="2"/>
        <v>0</v>
      </c>
      <c r="R34" s="300" t="str">
        <f t="shared" ca="1" si="1"/>
        <v/>
      </c>
      <c r="S34" s="304"/>
      <c r="T34" s="149"/>
      <c r="U34" s="206">
        <f ca="1">IF(OR(AC$8=0,SUM(Z35:AC35)=0),1,IF(L34="l","",SUM(AB35:AC35)))</f>
        <v>1</v>
      </c>
      <c r="V34" s="394"/>
      <c r="W34" s="50"/>
      <c r="Z34"/>
    </row>
    <row r="35" spans="3:29" ht="15" customHeight="1" x14ac:dyDescent="0.15">
      <c r="C35" s="186"/>
      <c r="D35" s="205" t="s">
        <v>484</v>
      </c>
      <c r="E35" s="188" t="s">
        <v>626</v>
      </c>
      <c r="F35" s="226">
        <v>5</v>
      </c>
      <c r="G35" s="296" t="str">
        <f ca="1">IF(L35="b","",IF(L35="l",0,FIXED(F35,K35,0)&amp;M35))</f>
        <v xml:space="preserve">5    </v>
      </c>
      <c r="H35" s="187" t="s">
        <v>254</v>
      </c>
      <c r="I35" s="189"/>
      <c r="K35" s="215"/>
      <c r="L35" t="str">
        <f t="shared" ca="1" si="0"/>
        <v>v</v>
      </c>
      <c r="M35" t="str">
        <f>REPT(" ",3-K35)&amp;IF(K35=0," ","")</f>
        <v xml:space="preserve">    </v>
      </c>
      <c r="O35" s="194" t="s">
        <v>619</v>
      </c>
      <c r="P35" s="208" t="str">
        <f>IF(ISNUMBER(D35),LOOKUP(D35,$AB$5:$AC$7),D35)</f>
        <v>接 地 埋 設 標</v>
      </c>
      <c r="Q35" s="208" t="str">
        <f t="shared" si="2"/>
        <v>黄銅製</v>
      </c>
      <c r="R35" s="301" t="str">
        <f t="shared" ca="1" si="1"/>
        <v xml:space="preserve">5    </v>
      </c>
      <c r="S35" s="305" t="str">
        <f>H35</f>
        <v>枚</v>
      </c>
      <c r="T35" s="150">
        <v>900</v>
      </c>
      <c r="U35" s="216">
        <f ca="1">IF(L35="l","",IF(D35+F35&gt;0,SUM(Z35:AA35),-1))</f>
        <v>4500</v>
      </c>
      <c r="V35" s="395">
        <v>232</v>
      </c>
      <c r="W35" s="107"/>
      <c r="Z35" s="114">
        <f>IF(D35&gt;0,0,TRUNC(F35*T35+Y35*X35))</f>
        <v>4500</v>
      </c>
      <c r="AA35" t="b">
        <f>IF($D35=1,SUM(Z$13:Z33)-SUM(AA$13:AA33),IF($D35=2,$AA$6,IF($D35=3,TRUNC($AA$6,-3))))</f>
        <v>0</v>
      </c>
      <c r="AB35">
        <f ca="1">IF(OR(AC$8=0,L34="l",D35&gt;0,U35=-1),0,IF(L34="b",-U35,TRUNC(F34*T35)))</f>
        <v>0</v>
      </c>
      <c r="AC35" t="b">
        <f>IF($D35=1,SUM(AB$13:AB33)-SUM(AC$13:AC33),IF($D35=2,$AA$5,IF($D35=3,TRUNC($AA$5,-3))))</f>
        <v>0</v>
      </c>
    </row>
    <row r="36" spans="3:29" ht="15" customHeight="1" x14ac:dyDescent="0.15">
      <c r="C36" s="182"/>
      <c r="D36" s="210"/>
      <c r="E36" s="184"/>
      <c r="F36" s="227"/>
      <c r="G36" s="297" t="str">
        <f ca="1">IF(OR(AC$8=0,L36="b"),"",IF(L36="l",0,"("&amp;FIXED(-F36,K37,0)&amp;M36))</f>
        <v/>
      </c>
      <c r="H36" s="183"/>
      <c r="I36" s="185"/>
      <c r="L36" t="str">
        <f t="shared" ca="1" si="0"/>
        <v>b</v>
      </c>
      <c r="M36" t="str">
        <f>")"&amp;REPT(" ",2-K37)&amp;IF(K37=0," ","")</f>
        <v xml:space="preserve">)   </v>
      </c>
      <c r="O36" s="194"/>
      <c r="P36" s="207">
        <f>D36</f>
        <v>0</v>
      </c>
      <c r="Q36" s="207">
        <f t="shared" si="2"/>
        <v>0</v>
      </c>
      <c r="R36" s="300" t="str">
        <f t="shared" ca="1" si="1"/>
        <v/>
      </c>
      <c r="S36" s="304"/>
      <c r="T36" s="149"/>
      <c r="U36" s="206">
        <f ca="1">IF(OR(AC$8=0,SUM(Z37:AC37)=0),1,IF(L36="l","",SUM(AB37:AC37)))</f>
        <v>1</v>
      </c>
      <c r="V36" s="394"/>
      <c r="W36" s="50" t="str">
        <f ca="1">IF(OR(AC$8=0,SUM(Z37:AC37)=0),"",CONCATENATE("(",FIXED(-#REF!,0),")"))</f>
        <v/>
      </c>
      <c r="Z36"/>
    </row>
    <row r="37" spans="3:29" ht="15" customHeight="1" x14ac:dyDescent="0.15">
      <c r="C37" s="186"/>
      <c r="D37" s="205" t="s">
        <v>538</v>
      </c>
      <c r="E37" s="188" t="s">
        <v>627</v>
      </c>
      <c r="F37" s="226">
        <v>10</v>
      </c>
      <c r="G37" s="296" t="str">
        <f ca="1">IF(L37="b","",IF(L37="l",0,FIXED(F37,K37,0)&amp;M37))</f>
        <v xml:space="preserve">10    </v>
      </c>
      <c r="H37" s="187" t="s">
        <v>254</v>
      </c>
      <c r="I37" s="189"/>
      <c r="K37" s="215"/>
      <c r="L37" t="str">
        <f t="shared" ca="1" si="0"/>
        <v>v</v>
      </c>
      <c r="M37" t="str">
        <f>REPT(" ",3-K37)&amp;IF(K37=0," ","")</f>
        <v xml:space="preserve">    </v>
      </c>
      <c r="O37" s="194"/>
      <c r="P37" s="208" t="str">
        <f>IF(ISNUMBER(D37),LOOKUP(D37,$AB$5:$AC$7),D37)</f>
        <v>接　地　銅　板</v>
      </c>
      <c r="Q37" s="208" t="str">
        <f t="shared" si="2"/>
        <v>1.5t×600×600</v>
      </c>
      <c r="R37" s="301" t="str">
        <f t="shared" ca="1" si="1"/>
        <v xml:space="preserve">10    </v>
      </c>
      <c r="S37" s="305" t="str">
        <f>H37</f>
        <v>枚</v>
      </c>
      <c r="T37" s="150">
        <v>12000</v>
      </c>
      <c r="U37" s="216">
        <f ca="1">IF(L37="l","",IF(D37+F37&gt;0,SUM(Z37:AA37),-1))</f>
        <v>120000</v>
      </c>
      <c r="V37" s="395">
        <v>230</v>
      </c>
      <c r="W37" s="107"/>
      <c r="Y37" s="114"/>
      <c r="Z37" s="114">
        <f>IF(D37&gt;0,0,TRUNC(F37*T37+Y37*X37))</f>
        <v>120000</v>
      </c>
      <c r="AA37" t="b">
        <f>IF($D37=1,SUM(Z$13:Z35)-SUM(AA$13:AA35),IF($D37=2,$AA$6,IF($D37=3,TRUNC($AA$6,-3))))</f>
        <v>0</v>
      </c>
      <c r="AB37">
        <f ca="1">IF(OR(AC$8=0,L36="l",D37&gt;0,U37=-1),0,IF(L36="b",-U37,TRUNC(F36*T37)))</f>
        <v>0</v>
      </c>
      <c r="AC37" t="b">
        <f>IF($D37=1,SUM(AB$13:AB35)-SUM(AC$13:AC35),IF($D37=2,$AA$5,IF($D37=3,TRUNC($AA$5,-3))))</f>
        <v>0</v>
      </c>
    </row>
    <row r="38" spans="3:29" ht="15" customHeight="1" x14ac:dyDescent="0.15">
      <c r="C38" s="182"/>
      <c r="D38" s="210"/>
      <c r="E38" s="184"/>
      <c r="F38" s="227"/>
      <c r="G38" s="297" t="str">
        <f ca="1">IF(OR(AC$8=0,L38="b"),"",IF(L38="l",0,"("&amp;FIXED(-F38,K39,0)&amp;M38))</f>
        <v/>
      </c>
      <c r="H38" s="183"/>
      <c r="I38" s="185"/>
      <c r="L38" t="str">
        <f t="shared" ca="1" si="0"/>
        <v>b</v>
      </c>
      <c r="M38" t="str">
        <f>")"&amp;REPT(" ",2-K39)&amp;IF(K39=0," ","")</f>
        <v xml:space="preserve">)   </v>
      </c>
      <c r="O38" s="194" t="s">
        <v>620</v>
      </c>
      <c r="P38" s="207">
        <f>D38</f>
        <v>0</v>
      </c>
      <c r="Q38" s="207">
        <f t="shared" si="2"/>
        <v>0</v>
      </c>
      <c r="R38" s="300" t="str">
        <f t="shared" ca="1" si="1"/>
        <v/>
      </c>
      <c r="S38" s="304"/>
      <c r="T38" s="144"/>
      <c r="U38" s="206">
        <f ca="1">IF(OR(AC$8=0,SUM(Z39:AC39)=0),1,IF(L38="l","",SUM(AB39:AC39)))</f>
        <v>1</v>
      </c>
      <c r="V38" s="385"/>
      <c r="W38" s="50"/>
      <c r="Z38"/>
    </row>
    <row r="39" spans="3:29" ht="15" customHeight="1" x14ac:dyDescent="0.15">
      <c r="C39" s="186"/>
      <c r="D39" s="205" t="s">
        <v>628</v>
      </c>
      <c r="E39" s="188" t="s">
        <v>632</v>
      </c>
      <c r="F39" s="226">
        <v>164</v>
      </c>
      <c r="G39" s="296" t="str">
        <f ca="1">IF(L39="b","",IF(L39="l",0,FIXED(F39,K39,0)&amp;M39))</f>
        <v xml:space="preserve">164    </v>
      </c>
      <c r="H39" s="187" t="s">
        <v>252</v>
      </c>
      <c r="I39" s="189"/>
      <c r="K39" s="215"/>
      <c r="L39" t="str">
        <f t="shared" ca="1" si="0"/>
        <v>v</v>
      </c>
      <c r="M39" t="str">
        <f>REPT(" ",3-K39)&amp;IF(K39=0," ","")</f>
        <v xml:space="preserve">    </v>
      </c>
      <c r="O39" s="194"/>
      <c r="P39" s="208" t="str">
        <f>IF(ISNUMBER(D39),LOOKUP(D39,$AB$5:$AC$7),D39)</f>
        <v>導線取付金物</v>
      </c>
      <c r="Q39" s="208" t="str">
        <f t="shared" si="2"/>
        <v>露出 40㎟ (13/2.0)用</v>
      </c>
      <c r="R39" s="301" t="str">
        <f t="shared" ca="1" si="1"/>
        <v xml:space="preserve">164    </v>
      </c>
      <c r="S39" s="305" t="str">
        <f>H39</f>
        <v>個</v>
      </c>
      <c r="T39" s="145">
        <v>600</v>
      </c>
      <c r="U39" s="216">
        <f ca="1">IF(L39="l","",IF(D39+F39&gt;0,SUM(Z39:AA39),-1))</f>
        <v>98400</v>
      </c>
      <c r="V39" s="386">
        <v>243</v>
      </c>
      <c r="W39" s="107"/>
      <c r="Z39" s="114">
        <f>IF(D39&gt;0,0,TRUNC(F39*T39+Y39*X39))</f>
        <v>98400</v>
      </c>
      <c r="AA39" t="b">
        <f>IF($D39=1,SUM(Z$13:Z37)-SUM(AA$13:AA37),IF($D39=2,$AA$6,IF($D39=3,TRUNC($AA$6,-3))))</f>
        <v>0</v>
      </c>
      <c r="AB39">
        <f ca="1">IF(OR(AC$8=0,L38="l",D39&gt;0,U39=-1),0,IF(L38="b",-U39,TRUNC(F38*T39)))</f>
        <v>0</v>
      </c>
      <c r="AC39" t="b">
        <f>IF($D39=1,SUM(AB$13:AB37)-SUM(AC$13:AC37),IF($D39=2,$AA$5,IF($D39=3,TRUNC($AA$5,-3))))</f>
        <v>0</v>
      </c>
    </row>
    <row r="40" spans="3:29" ht="15" customHeight="1" x14ac:dyDescent="0.15">
      <c r="C40" s="182"/>
      <c r="D40" s="210"/>
      <c r="E40" s="212"/>
      <c r="F40" s="227"/>
      <c r="G40" s="297" t="str">
        <f ca="1">IF(OR(AC$8=0,L40="b"),"",IF(L40="l",0,"("&amp;FIXED(-F40,K41,0)&amp;M40))</f>
        <v/>
      </c>
      <c r="H40" s="183"/>
      <c r="I40" s="185"/>
      <c r="L40" t="str">
        <f t="shared" ca="1" si="0"/>
        <v>b</v>
      </c>
      <c r="M40" t="str">
        <f>")"&amp;REPT(" ",2-K41)&amp;IF(K41=0," ","")</f>
        <v xml:space="preserve">)   </v>
      </c>
      <c r="O40" s="194"/>
      <c r="P40" s="207">
        <f>D40</f>
        <v>0</v>
      </c>
      <c r="Q40" s="207">
        <f t="shared" si="2"/>
        <v>0</v>
      </c>
      <c r="R40" s="300" t="str">
        <f t="shared" ca="1" si="1"/>
        <v/>
      </c>
      <c r="S40" s="304"/>
      <c r="T40" s="144"/>
      <c r="U40" s="206">
        <f ca="1">IF(OR(AC$8=0,SUM(Z41:AC41)=0),1,IF(L40="l","",SUM(AB41:AC41)))</f>
        <v>1</v>
      </c>
      <c r="V40" s="385"/>
      <c r="W40" s="50"/>
      <c r="Z40"/>
    </row>
    <row r="41" spans="3:29" ht="15" customHeight="1" x14ac:dyDescent="0.15">
      <c r="C41" s="186"/>
      <c r="D41" s="205" t="s">
        <v>629</v>
      </c>
      <c r="E41" s="488" t="s">
        <v>633</v>
      </c>
      <c r="F41" s="226">
        <v>10</v>
      </c>
      <c r="G41" s="296" t="str">
        <f ca="1">IF(L41="b","",IF(L41="l",0,FIXED(F41,K41,0)&amp;M41))</f>
        <v xml:space="preserve">10    </v>
      </c>
      <c r="H41" s="187" t="s">
        <v>252</v>
      </c>
      <c r="I41" s="189"/>
      <c r="K41" s="215"/>
      <c r="L41" t="str">
        <f t="shared" ca="1" si="0"/>
        <v>v</v>
      </c>
      <c r="M41" t="str">
        <f>REPT(" ",3-K41)&amp;IF(K41=0," ","")</f>
        <v xml:space="preserve">    </v>
      </c>
      <c r="O41" s="194" t="s">
        <v>250</v>
      </c>
      <c r="P41" s="208" t="str">
        <f>IF(ISNUMBER(D41),LOOKUP(D41,$AB$5:$AC$7),D41)</f>
        <v>接　続　端　子</v>
      </c>
      <c r="Q41" s="208" t="str">
        <f t="shared" si="2"/>
        <v>Ｔ　型</v>
      </c>
      <c r="R41" s="301" t="str">
        <f t="shared" ca="1" si="1"/>
        <v xml:space="preserve">10    </v>
      </c>
      <c r="S41" s="305" t="str">
        <f>H41</f>
        <v>個</v>
      </c>
      <c r="T41" s="145">
        <v>5390</v>
      </c>
      <c r="U41" s="216">
        <f ca="1">IF(L41="l","",IF(D41+F41&gt;0,SUM(Z41:AA41),-1))</f>
        <v>53900</v>
      </c>
      <c r="V41" s="386">
        <v>244</v>
      </c>
      <c r="W41" s="107"/>
      <c r="Z41" s="114">
        <f>IF(D41&gt;0,0,TRUNC(F41*T41+Y41*X41))</f>
        <v>53900</v>
      </c>
      <c r="AA41" t="b">
        <f>IF($D41=1,SUM(Z$13:Z39)-SUM(AA$13:AA39),IF($D41=2,$AA$6,IF($D41=3,TRUNC($AA$6,-3))))</f>
        <v>0</v>
      </c>
      <c r="AB41">
        <f ca="1">IF(OR(AC$8=0,L40="l",D41&gt;0,U41=-1),0,IF(L40="b",-U41,TRUNC(F40*T41)))</f>
        <v>0</v>
      </c>
      <c r="AC41" t="b">
        <f>IF($D41=1,SUM(AB$13:AB39)-SUM(AC$13:AC39),IF($D41=2,$AA$5,IF($D41=3,TRUNC($AA$5,-3))))</f>
        <v>0</v>
      </c>
    </row>
    <row r="42" spans="3:29" ht="15" customHeight="1" x14ac:dyDescent="0.15">
      <c r="C42" s="182"/>
      <c r="D42" s="210"/>
      <c r="E42" s="212"/>
      <c r="F42" s="227"/>
      <c r="G42" s="297" t="str">
        <f ca="1">IF(OR(AC$8=0,L42="b"),"",IF(L42="l",0,"("&amp;FIXED(-F42,K43,0)&amp;M42))</f>
        <v/>
      </c>
      <c r="H42" s="183"/>
      <c r="I42" s="185"/>
      <c r="L42" t="str">
        <f t="shared" ca="1" si="0"/>
        <v>b</v>
      </c>
      <c r="M42" t="str">
        <f>")"&amp;REPT(" ",2-K43)&amp;IF(K43=0," ","")</f>
        <v xml:space="preserve">)   </v>
      </c>
      <c r="O42" s="194"/>
      <c r="P42" s="207">
        <f>D42</f>
        <v>0</v>
      </c>
      <c r="Q42" s="207">
        <f>E42</f>
        <v>0</v>
      </c>
      <c r="R42" s="300" t="str">
        <f t="shared" ca="1" si="1"/>
        <v/>
      </c>
      <c r="S42" s="304"/>
      <c r="T42" s="149"/>
      <c r="U42" s="206">
        <f ca="1">IF(OR(AC$8=0,SUM(Z43:AC43)=0),1,IF(L42="l","",SUM(AB43:AC43)))</f>
        <v>1</v>
      </c>
      <c r="V42" s="394"/>
      <c r="W42" s="50"/>
      <c r="Z42"/>
    </row>
    <row r="43" spans="3:29" ht="15" customHeight="1" x14ac:dyDescent="0.15">
      <c r="C43" s="186"/>
      <c r="D43" s="205" t="s">
        <v>236</v>
      </c>
      <c r="E43" s="488" t="s">
        <v>630</v>
      </c>
      <c r="F43" s="226">
        <v>5</v>
      </c>
      <c r="G43" s="296" t="str">
        <f ca="1">IF(L43="b","",IF(L43="l",0,FIXED(F43,K43,0)&amp;M43))</f>
        <v xml:space="preserve">5    </v>
      </c>
      <c r="H43" s="187" t="s">
        <v>252</v>
      </c>
      <c r="I43" s="189"/>
      <c r="K43" s="215"/>
      <c r="L43" t="str">
        <f t="shared" ca="1" si="0"/>
        <v>v</v>
      </c>
      <c r="M43" t="str">
        <f>REPT(" ",3-K43)&amp;IF(K43=0," ","")</f>
        <v xml:space="preserve">    </v>
      </c>
      <c r="O43" s="194"/>
      <c r="P43" s="208" t="str">
        <f>IF(ISNUMBER(D43),LOOKUP(D43,$AB$5:$AC$7),D43)</f>
        <v>〃</v>
      </c>
      <c r="Q43" s="208" t="str">
        <f>E43</f>
        <v>水切型</v>
      </c>
      <c r="R43" s="301" t="str">
        <f t="shared" ca="1" si="1"/>
        <v xml:space="preserve">5    </v>
      </c>
      <c r="S43" s="305" t="str">
        <f>H43</f>
        <v>個</v>
      </c>
      <c r="T43" s="150">
        <v>4000</v>
      </c>
      <c r="U43" s="216">
        <f ca="1">IF(L43="l","",IF(D43+F43&gt;0,SUM(Z43:AA43),-1))</f>
        <v>20000</v>
      </c>
      <c r="V43" s="395">
        <v>246</v>
      </c>
      <c r="W43" s="107"/>
      <c r="Z43" s="114">
        <f>IF(D43&gt;0,0,TRUNC(F43*T43+Y43*X43))</f>
        <v>20000</v>
      </c>
      <c r="AA43" t="b">
        <f>IF($D43=1,SUM(Z$13:Z41)-SUM(AA$13:AA41),IF($D43=2,$AA$6,IF($D43=3,TRUNC($AA$6,-3))))</f>
        <v>0</v>
      </c>
      <c r="AB43">
        <f ca="1">IF(OR(AC$8=0,L42="l",D43&gt;0,U43=-1),0,IF(L42="b",-U43,TRUNC(F42*T43)))</f>
        <v>0</v>
      </c>
      <c r="AC43" t="b">
        <f>IF($D43=1,SUM(AB$13:AB41)-SUM(AC$13:AC41),IF($D43=2,$AA$5,IF($D43=3,TRUNC($AA$5,-3))))</f>
        <v>0</v>
      </c>
    </row>
    <row r="44" spans="3:29" ht="15" customHeight="1" x14ac:dyDescent="0.15">
      <c r="C44" s="182"/>
      <c r="D44" s="210"/>
      <c r="E44" s="489"/>
      <c r="F44" s="227"/>
      <c r="G44" s="297" t="str">
        <f ca="1">IF(OR(AC$8=0,L44="b"),"",IF(L44="l",0,"("&amp;FIXED(-F44,K45,0)&amp;M44))</f>
        <v/>
      </c>
      <c r="H44" s="183"/>
      <c r="I44" s="185"/>
      <c r="L44" t="str">
        <f t="shared" ca="1" si="0"/>
        <v>b</v>
      </c>
      <c r="M44" t="str">
        <f>")"&amp;REPT(" ",2-K45)&amp;IF(K45=0," ","")</f>
        <v xml:space="preserve">)   </v>
      </c>
      <c r="O44" s="194" t="s">
        <v>251</v>
      </c>
      <c r="P44" s="207">
        <f>D44</f>
        <v>0</v>
      </c>
      <c r="Q44" s="207">
        <f>E44</f>
        <v>0</v>
      </c>
      <c r="R44" s="300" t="str">
        <f t="shared" ca="1" si="1"/>
        <v/>
      </c>
      <c r="S44" s="304"/>
      <c r="T44" s="149"/>
      <c r="U44" s="206">
        <f ca="1">IF(OR(AC$8=0,SUM(Z45:AC45)=0),1,IF(L44="l","",SUM(AB45:AC45)))</f>
        <v>1</v>
      </c>
      <c r="V44" s="394"/>
      <c r="W44" s="50" t="str">
        <f ca="1">IF(OR(AC$8=0,SUM(Z45:AC45)=0),"",CONCATENATE("(",FIXED(-#REF!,0),")"))</f>
        <v/>
      </c>
      <c r="Z44"/>
    </row>
    <row r="45" spans="3:29" ht="15" customHeight="1" x14ac:dyDescent="0.15">
      <c r="C45" s="186"/>
      <c r="D45" s="205"/>
      <c r="E45" s="188"/>
      <c r="F45" s="226"/>
      <c r="G45" s="296" t="str">
        <f ca="1">IF(L45="b","",IF(L45="l",0,FIXED(F45,K45,0)&amp;M45))</f>
        <v/>
      </c>
      <c r="H45" s="187"/>
      <c r="I45" s="189"/>
      <c r="K45" s="215"/>
      <c r="L45" t="str">
        <f t="shared" ca="1" si="0"/>
        <v>b</v>
      </c>
      <c r="M45" t="str">
        <f>REPT(" ",3-K45)&amp;IF(K45=0," ","")</f>
        <v xml:space="preserve">    </v>
      </c>
      <c r="O45" s="194"/>
      <c r="P45" s="208">
        <f>IF(ISNUMBER(D45),LOOKUP(D45,$AB$5:$AC$7),D45)</f>
        <v>0</v>
      </c>
      <c r="Q45" s="208">
        <f>E45</f>
        <v>0</v>
      </c>
      <c r="R45" s="301" t="str">
        <f t="shared" ca="1" si="1"/>
        <v/>
      </c>
      <c r="S45" s="305">
        <f>H45</f>
        <v>0</v>
      </c>
      <c r="T45" s="150"/>
      <c r="U45" s="216">
        <f ca="1">IF(L45="l","",IF(D45+F45&gt;0,SUM(Z45:AA45),-1))</f>
        <v>-1</v>
      </c>
      <c r="V45" s="395"/>
      <c r="W45" s="107"/>
      <c r="Z45" s="114">
        <f>IF(D45&gt;0,0,TRUNC(F45*T45+Y45*X45))</f>
        <v>0</v>
      </c>
      <c r="AA45" t="b">
        <f>IF($D45=1,SUM(Z$13:Z43)-SUM(AA$13:AA43),IF($D45=2,$AA$6,IF($D45=3,TRUNC($AA$6,-3))))</f>
        <v>0</v>
      </c>
      <c r="AB45">
        <f ca="1">IF(OR(AC$8=0,L44="l",D45&gt;0,U45=-1),0,IF(L44="b",-U45,TRUNC(F44*T45)))</f>
        <v>0</v>
      </c>
      <c r="AC45" t="b">
        <f>IF($D45=1,SUM(AB$13:AB43)-SUM(AC$13:AC43),IF($D45=2,$AA$5,IF($D45=3,TRUNC($AA$5,-3))))</f>
        <v>0</v>
      </c>
    </row>
    <row r="46" spans="3:29" ht="15" customHeight="1" x14ac:dyDescent="0.15">
      <c r="C46" s="182"/>
      <c r="D46" s="210"/>
      <c r="E46" s="489"/>
      <c r="F46" s="227"/>
      <c r="G46" s="297" t="str">
        <f ca="1">IF(OR(AC$8=0,L46="b"),"",IF(L46="l",0,"("&amp;FIXED(-F46,K47,0)&amp;M46))</f>
        <v/>
      </c>
      <c r="H46" s="183"/>
      <c r="I46" s="185"/>
      <c r="L46" t="str">
        <f t="shared" ref="L46:L73" ca="1" si="5">CELL("type",F46)</f>
        <v>b</v>
      </c>
      <c r="M46" t="str">
        <f>")"&amp;REPT(" ",2-K47)&amp;IF(K47=0," ","")</f>
        <v xml:space="preserve">)   </v>
      </c>
      <c r="O46" s="194"/>
      <c r="P46" s="207">
        <f>D46</f>
        <v>0</v>
      </c>
      <c r="Q46" s="207">
        <f t="shared" ref="Q46:Q73" si="6">E46</f>
        <v>0</v>
      </c>
      <c r="R46" s="300" t="str">
        <f t="shared" ref="R46:R73" ca="1" si="7">G46</f>
        <v/>
      </c>
      <c r="S46" s="304"/>
      <c r="T46" s="149"/>
      <c r="U46" s="206">
        <f ca="1">IF(OR(AC$8=0,SUM(Z47:AC47)=0),1,IF(L46="l","",SUM(AB47:AC47)))</f>
        <v>1</v>
      </c>
      <c r="V46" s="394"/>
      <c r="W46" s="50" t="str">
        <f ca="1">IF(OR(AC$8=0,SUM(Z47:AC47)=0),"",CONCATENATE("(",FIXED(-#REF!,0),")"))</f>
        <v/>
      </c>
      <c r="Z46"/>
    </row>
    <row r="47" spans="3:29" ht="15" customHeight="1" x14ac:dyDescent="0.15">
      <c r="C47" s="186"/>
      <c r="D47" s="205">
        <v>1</v>
      </c>
      <c r="E47" s="188"/>
      <c r="F47" s="226"/>
      <c r="G47" s="296" t="str">
        <f ca="1">IF(L47="b","",IF(L47="l",0,FIXED(F47,K47,0)&amp;M47))</f>
        <v/>
      </c>
      <c r="H47" s="187"/>
      <c r="I47" s="189"/>
      <c r="K47" s="215"/>
      <c r="L47" t="str">
        <f t="shared" ca="1" si="5"/>
        <v>b</v>
      </c>
      <c r="M47" t="str">
        <f>REPT(" ",3-K47)&amp;IF(K47=0," ","")</f>
        <v xml:space="preserve">    </v>
      </c>
      <c r="O47" s="194"/>
      <c r="P47" s="208" t="str">
        <f>IF(ISNUMBER(D47),LOOKUP(D47,$AB$5:$AC$7),D47)</f>
        <v>小    　計</v>
      </c>
      <c r="Q47" s="208">
        <f t="shared" si="6"/>
        <v>0</v>
      </c>
      <c r="R47" s="301" t="str">
        <f t="shared" ca="1" si="7"/>
        <v/>
      </c>
      <c r="S47" s="305">
        <f>H47</f>
        <v>0</v>
      </c>
      <c r="T47" s="150"/>
      <c r="U47" s="216">
        <f ca="1">IF(L47="l","",IF(D47+F47&gt;0,SUM(Z47:AA47),-1))</f>
        <v>413800</v>
      </c>
      <c r="V47" s="395"/>
      <c r="W47" s="107"/>
      <c r="Y47" s="114"/>
      <c r="Z47" s="114">
        <f>IF(D47&gt;0,0,TRUNC(F47*T47+Y47*X47))</f>
        <v>0</v>
      </c>
      <c r="AA47">
        <f>IF($D47=1,SUM(Z$13:Z45)-SUM(AA$13:AA45),IF($D47=2,$AA$6,IF($D47=3,TRUNC($AA$6,-3))))</f>
        <v>413800</v>
      </c>
      <c r="AB47">
        <f ca="1">IF(OR(AC$8=0,L46="l",D47&gt;0,U47=-1),0,IF(L46="b",-U47,TRUNC(F46*T47)))</f>
        <v>0</v>
      </c>
      <c r="AC47">
        <f ca="1">IF($D47=1,SUM(AB$13:AB45)-SUM(AC$13:AC45),IF($D47=2,$AA$5,IF($D47=3,TRUNC($AA$5,-3))))</f>
        <v>0</v>
      </c>
    </row>
    <row r="48" spans="3:29" ht="15" customHeight="1" x14ac:dyDescent="0.15">
      <c r="C48" s="182"/>
      <c r="D48" s="210"/>
      <c r="E48" s="184"/>
      <c r="F48" s="227"/>
      <c r="G48" s="297" t="str">
        <f ca="1">IF(OR(AC$8=0,L48="b"),"",IF(L48="l",0,"("&amp;FIXED(-F48,K49,0)&amp;M48))</f>
        <v/>
      </c>
      <c r="H48" s="183"/>
      <c r="I48" s="185"/>
      <c r="L48" t="str">
        <f t="shared" ca="1" si="5"/>
        <v>b</v>
      </c>
      <c r="M48" t="str">
        <f>")"&amp;REPT(" ",2-K49)&amp;IF(K49=0," ","")</f>
        <v xml:space="preserve">)   </v>
      </c>
      <c r="O48" s="194"/>
      <c r="P48" s="207">
        <f>D48</f>
        <v>0</v>
      </c>
      <c r="Q48" s="207">
        <f t="shared" si="6"/>
        <v>0</v>
      </c>
      <c r="R48" s="300" t="str">
        <f t="shared" ca="1" si="7"/>
        <v/>
      </c>
      <c r="S48" s="304"/>
      <c r="T48" s="144"/>
      <c r="U48" s="206">
        <f ca="1">IF(OR(AC$8=0,SUM(Z49:AC49)=0),1,IF(L48="l","",SUM(AB49:AC49)))</f>
        <v>1</v>
      </c>
      <c r="V48" s="385"/>
      <c r="W48" s="50"/>
      <c r="Z48"/>
    </row>
    <row r="49" spans="3:29" ht="15" customHeight="1" x14ac:dyDescent="0.15">
      <c r="C49" s="186"/>
      <c r="D49" s="205"/>
      <c r="E49" s="188"/>
      <c r="F49" s="226"/>
      <c r="G49" s="296" t="str">
        <f ca="1">IF(L49="b","",IF(L49="l",0,FIXED(F49,K49,0)&amp;M49))</f>
        <v/>
      </c>
      <c r="H49" s="187"/>
      <c r="I49" s="189"/>
      <c r="K49" s="215"/>
      <c r="L49" t="str">
        <f t="shared" ca="1" si="5"/>
        <v>b</v>
      </c>
      <c r="M49" t="str">
        <f>REPT(" ",3-K49)&amp;IF(K49=0," ","")</f>
        <v xml:space="preserve">    </v>
      </c>
      <c r="O49" s="194"/>
      <c r="P49" s="208">
        <f>IF(ISNUMBER(D49),LOOKUP(D49,$AB$5:$AC$7),D49)</f>
        <v>0</v>
      </c>
      <c r="Q49" s="208">
        <f t="shared" si="6"/>
        <v>0</v>
      </c>
      <c r="R49" s="301" t="str">
        <f t="shared" ca="1" si="7"/>
        <v/>
      </c>
      <c r="S49" s="305">
        <f>H49</f>
        <v>0</v>
      </c>
      <c r="T49" s="145"/>
      <c r="U49" s="216">
        <f ca="1">IF(L49="l","",IF(D49+F49&gt;0,SUM(Z49:AA49),-1))</f>
        <v>-1</v>
      </c>
      <c r="V49" s="386"/>
      <c r="W49" s="107"/>
      <c r="Z49" s="114">
        <f>IF(D49&gt;0,0,TRUNC(F49*T49+Y49*X49))</f>
        <v>0</v>
      </c>
      <c r="AA49" t="b">
        <f>IF($D49=1,SUM(Z$13:Z47)-SUM(AA$13:AA47),IF($D49=2,$AA$6,IF($D49=3,TRUNC($AA$6,-3))))</f>
        <v>0</v>
      </c>
      <c r="AB49">
        <f ca="1">IF(OR(AC$8=0,L48="l",D49&gt;0,U49=-1),0,IF(L48="b",-U49,TRUNC(F48*T49)))</f>
        <v>0</v>
      </c>
      <c r="AC49" t="b">
        <f>IF($D49=1,SUM(AB$13:AB47)-SUM(AC$13:AC47),IF($D49=2,$AA$5,IF($D49=3,TRUNC($AA$5,-3))))</f>
        <v>0</v>
      </c>
    </row>
    <row r="50" spans="3:29" ht="15" customHeight="1" x14ac:dyDescent="0.15">
      <c r="C50" s="182"/>
      <c r="D50" s="210"/>
      <c r="E50" s="184"/>
      <c r="F50" s="227"/>
      <c r="G50" s="297" t="str">
        <f ca="1">IF(OR(AC$8=0,L50="b"),"",IF(L50="l",0,"("&amp;FIXED(-F50,K51,0)&amp;M50))</f>
        <v/>
      </c>
      <c r="H50" s="183"/>
      <c r="I50" s="185"/>
      <c r="L50" t="str">
        <f t="shared" ca="1" si="5"/>
        <v>b</v>
      </c>
      <c r="M50" t="str">
        <f>")"&amp;REPT(" ",2-K51)&amp;IF(K51=0," ","")</f>
        <v xml:space="preserve">)   </v>
      </c>
      <c r="O50" s="194"/>
      <c r="P50" s="207">
        <f>D50</f>
        <v>0</v>
      </c>
      <c r="Q50" s="207">
        <f t="shared" si="6"/>
        <v>0</v>
      </c>
      <c r="R50" s="300" t="str">
        <f t="shared" ca="1" si="7"/>
        <v/>
      </c>
      <c r="S50" s="304"/>
      <c r="T50" s="144"/>
      <c r="U50" s="206">
        <f ca="1">IF(OR(AC$8=0,SUM(Z51:AC51)=0),1,IF(L50="l","",SUM(AB51:AC51)))</f>
        <v>1</v>
      </c>
      <c r="V50" s="392"/>
      <c r="W50" s="197"/>
      <c r="Z50"/>
    </row>
    <row r="51" spans="3:29" ht="15" customHeight="1" x14ac:dyDescent="0.15">
      <c r="C51" s="186"/>
      <c r="D51" s="205"/>
      <c r="E51" s="188"/>
      <c r="F51" s="226"/>
      <c r="G51" s="296" t="str">
        <f ca="1">IF(L51="b","",IF(L51="l",0,FIXED(F51,K51,0)&amp;M51))</f>
        <v/>
      </c>
      <c r="H51" s="187"/>
      <c r="I51" s="189"/>
      <c r="K51" s="215"/>
      <c r="L51" t="str">
        <f t="shared" ca="1" si="5"/>
        <v>b</v>
      </c>
      <c r="M51" t="str">
        <f>REPT(" ",3-K51)&amp;IF(K51=0," ","")</f>
        <v xml:space="preserve">    </v>
      </c>
      <c r="O51" s="194"/>
      <c r="P51" s="208">
        <f>IF(ISNUMBER(D51),LOOKUP(D51,$AB$5:$AC$7),D51)</f>
        <v>0</v>
      </c>
      <c r="Q51" s="208">
        <f t="shared" si="6"/>
        <v>0</v>
      </c>
      <c r="R51" s="301" t="str">
        <f t="shared" ca="1" si="7"/>
        <v/>
      </c>
      <c r="S51" s="305">
        <f>H51</f>
        <v>0</v>
      </c>
      <c r="T51" s="145"/>
      <c r="U51" s="216">
        <f ca="1">IF(L51="l","",IF(D51+F51&gt;0,SUM(Z51:AA51),-1))</f>
        <v>-1</v>
      </c>
      <c r="V51" s="386"/>
      <c r="W51" s="142"/>
      <c r="Y51" s="114"/>
      <c r="Z51" s="114">
        <f>IF(D51&gt;0,0,TRUNC(F51*T51+Y51*X51))</f>
        <v>0</v>
      </c>
      <c r="AA51" t="b">
        <f>IF($D51=1,SUM(Z$13:Z49)-SUM(AA$13:AA49),IF($D51=2,$AA$6,IF($D51=3,TRUNC($AA$6,-3))))</f>
        <v>0</v>
      </c>
      <c r="AB51">
        <f ca="1">IF(OR(AC$8=0,L50="l",D51&gt;0,U51=-1),0,IF(L50="b",-U51,TRUNC(F50*T51)))</f>
        <v>0</v>
      </c>
      <c r="AC51" t="b">
        <f>IF($D51=1,SUM(AB$13:AB49)-SUM(AC$13:AC49),IF($D51=2,$AA$5,IF($D51=3,TRUNC($AA$5,-3))))</f>
        <v>0</v>
      </c>
    </row>
    <row r="52" spans="3:29" ht="15" customHeight="1" x14ac:dyDescent="0.15">
      <c r="C52" s="182"/>
      <c r="D52" s="210"/>
      <c r="E52" s="184"/>
      <c r="F52" s="227"/>
      <c r="G52" s="297" t="str">
        <f ca="1">IF(OR(AC$8=0,L52="b"),"",IF(L52="l",0,"("&amp;FIXED(-F52,K53,0)&amp;M52))</f>
        <v/>
      </c>
      <c r="H52" s="183"/>
      <c r="I52" s="185"/>
      <c r="L52" t="str">
        <f t="shared" ca="1" si="5"/>
        <v>b</v>
      </c>
      <c r="M52" t="str">
        <f>")"&amp;REPT(" ",2-K53)&amp;IF(K53=0," ","")</f>
        <v xml:space="preserve">)   </v>
      </c>
      <c r="O52" s="194"/>
      <c r="P52" s="207">
        <f>D52</f>
        <v>0</v>
      </c>
      <c r="Q52" s="207">
        <f t="shared" si="6"/>
        <v>0</v>
      </c>
      <c r="R52" s="300" t="str">
        <f t="shared" ca="1" si="7"/>
        <v/>
      </c>
      <c r="S52" s="304"/>
      <c r="T52" s="144"/>
      <c r="U52" s="206">
        <f ca="1">IF(OR(AC$8=0,SUM(Z53:AC53)=0),1,IF(L52="l","",SUM(AB53:AC53)))</f>
        <v>1</v>
      </c>
      <c r="V52" s="385"/>
      <c r="W52" s="50"/>
      <c r="Z52"/>
    </row>
    <row r="53" spans="3:29" ht="15" customHeight="1" x14ac:dyDescent="0.15">
      <c r="C53" s="186"/>
      <c r="D53" s="205"/>
      <c r="E53" s="188"/>
      <c r="F53" s="226"/>
      <c r="G53" s="296" t="str">
        <f ca="1">IF(L53="b","",IF(L53="l",0,FIXED(F53,K53,0)&amp;M53))</f>
        <v/>
      </c>
      <c r="H53" s="187"/>
      <c r="I53" s="189"/>
      <c r="K53" s="215"/>
      <c r="L53" t="str">
        <f t="shared" ca="1" si="5"/>
        <v>b</v>
      </c>
      <c r="M53" t="str">
        <f>REPT(" ",3-K53)&amp;IF(K53=0," ","")</f>
        <v xml:space="preserve">    </v>
      </c>
      <c r="O53" s="194"/>
      <c r="P53" s="208">
        <f>IF(ISNUMBER(D53),LOOKUP(D53,$AB$5:$AC$7),D53)</f>
        <v>0</v>
      </c>
      <c r="Q53" s="208">
        <f t="shared" si="6"/>
        <v>0</v>
      </c>
      <c r="R53" s="301" t="str">
        <f t="shared" ca="1" si="7"/>
        <v/>
      </c>
      <c r="S53" s="305">
        <f>H53</f>
        <v>0</v>
      </c>
      <c r="T53" s="145"/>
      <c r="U53" s="216">
        <f ca="1">IF(L53="l","",IF(D53+F53&gt;0,SUM(Z53:AA53),-1))</f>
        <v>-1</v>
      </c>
      <c r="V53" s="386"/>
      <c r="W53" s="107"/>
      <c r="Z53" s="114">
        <f>IF(D53&gt;0,0,TRUNC(F53*T53+Y53*X53))</f>
        <v>0</v>
      </c>
      <c r="AA53" t="b">
        <f>IF($D53=1,SUM(Z$13:Z51)-SUM(AA$13:AA51),IF($D53=2,$AA$6,IF($D53=3,TRUNC($AA$6,-3))))</f>
        <v>0</v>
      </c>
      <c r="AB53">
        <f ca="1">IF(OR(AC$8=0,L52="l",D53&gt;0,U53=-1),0,IF(L52="b",-U53,TRUNC(F52*T53)))</f>
        <v>0</v>
      </c>
      <c r="AC53" t="b">
        <f>IF($D53=1,SUM(AB$13:AB51)-SUM(AC$13:AC51),IF($D53=2,$AA$5,IF($D53=3,TRUNC($AA$5,-3))))</f>
        <v>0</v>
      </c>
    </row>
    <row r="54" spans="3:29" ht="15" customHeight="1" x14ac:dyDescent="0.15">
      <c r="C54" s="182"/>
      <c r="D54" s="210"/>
      <c r="E54" s="184"/>
      <c r="F54" s="227"/>
      <c r="G54" s="297" t="str">
        <f ca="1">IF(OR(AC$8=0,L54="b"),"",IF(L54="l",0,"("&amp;FIXED(-F54,K55,0)&amp;M54))</f>
        <v/>
      </c>
      <c r="H54" s="183"/>
      <c r="I54" s="185"/>
      <c r="L54" t="str">
        <f t="shared" ca="1" si="5"/>
        <v>b</v>
      </c>
      <c r="M54" t="str">
        <f>")"&amp;REPT(" ",2-K55)&amp;IF(K55=0," ","")</f>
        <v xml:space="preserve">)   </v>
      </c>
      <c r="O54" s="194"/>
      <c r="P54" s="207">
        <f>D54</f>
        <v>0</v>
      </c>
      <c r="Q54" s="207">
        <f t="shared" si="6"/>
        <v>0</v>
      </c>
      <c r="R54" s="300" t="str">
        <f t="shared" ca="1" si="7"/>
        <v/>
      </c>
      <c r="S54" s="304"/>
      <c r="T54" s="144"/>
      <c r="U54" s="206">
        <f ca="1">IF(OR(AC$8=0,SUM(Z55:AC55)=0),1,IF(L54="l","",SUM(AB55:AC55)))</f>
        <v>1</v>
      </c>
      <c r="V54" s="392"/>
      <c r="W54" s="197"/>
      <c r="Z54"/>
    </row>
    <row r="55" spans="3:29" ht="15" customHeight="1" x14ac:dyDescent="0.15">
      <c r="C55" s="186"/>
      <c r="D55" s="205"/>
      <c r="E55" s="188"/>
      <c r="F55" s="226"/>
      <c r="G55" s="296" t="str">
        <f ca="1">IF(L55="b","",IF(L55="l",0,FIXED(F55,K55,0)&amp;M55))</f>
        <v/>
      </c>
      <c r="H55" s="187"/>
      <c r="I55" s="189"/>
      <c r="K55" s="215"/>
      <c r="L55" t="str">
        <f t="shared" ca="1" si="5"/>
        <v>b</v>
      </c>
      <c r="M55" t="str">
        <f>REPT(" ",3-K55)&amp;IF(K55=0," ","")</f>
        <v xml:space="preserve">    </v>
      </c>
      <c r="O55" s="194"/>
      <c r="P55" s="208">
        <f>IF(ISNUMBER(D55),LOOKUP(D55,$AB$5:$AC$7),D55)</f>
        <v>0</v>
      </c>
      <c r="Q55" s="208">
        <f t="shared" si="6"/>
        <v>0</v>
      </c>
      <c r="R55" s="301" t="str">
        <f t="shared" ca="1" si="7"/>
        <v/>
      </c>
      <c r="S55" s="305">
        <f>H55</f>
        <v>0</v>
      </c>
      <c r="T55" s="145"/>
      <c r="U55" s="216">
        <f ca="1">IF(L55="l","",IF(D55+F55&gt;0,SUM(Z55:AA55),-1))</f>
        <v>-1</v>
      </c>
      <c r="V55" s="386"/>
      <c r="W55" s="142"/>
      <c r="Y55" s="114"/>
      <c r="Z55" s="114">
        <f>IF(D55&gt;0,0,TRUNC(F55*T55+Y55*X55))</f>
        <v>0</v>
      </c>
      <c r="AA55" t="b">
        <f>IF($D55=1,SUM(Z$13:Z53)-SUM(AA$13:AA53),IF($D55=2,$AA$6,IF($D55=3,TRUNC($AA$6,-3))))</f>
        <v>0</v>
      </c>
      <c r="AB55">
        <f ca="1">IF(OR(AC$8=0,L54="l",D55&gt;0,U55=-1),0,IF(L54="b",-U55,TRUNC(F54*T55)))</f>
        <v>0</v>
      </c>
      <c r="AC55" t="b">
        <f>IF($D55=1,SUM(AB$13:AB53)-SUM(AC$13:AC53),IF($D55=2,$AA$5,IF($D55=3,TRUNC($AA$5,-3))))</f>
        <v>0</v>
      </c>
    </row>
    <row r="56" spans="3:29" ht="15" customHeight="1" x14ac:dyDescent="0.15">
      <c r="C56" s="182"/>
      <c r="D56" s="210"/>
      <c r="E56" s="184"/>
      <c r="F56" s="227"/>
      <c r="G56" s="297" t="str">
        <f ca="1">IF(OR(AC$8=0,L56="b"),"",IF(L56="l",0,"("&amp;FIXED(-F56,K57,0)&amp;M56))</f>
        <v/>
      </c>
      <c r="H56" s="183"/>
      <c r="I56" s="185"/>
      <c r="L56" t="str">
        <f t="shared" ca="1" si="5"/>
        <v>b</v>
      </c>
      <c r="M56" t="str">
        <f>")"&amp;REPT(" ",2-K57)&amp;IF(K57=0," ","")</f>
        <v xml:space="preserve">)   </v>
      </c>
      <c r="O56" s="194"/>
      <c r="P56" s="207">
        <f>D56</f>
        <v>0</v>
      </c>
      <c r="Q56" s="207">
        <f t="shared" si="6"/>
        <v>0</v>
      </c>
      <c r="R56" s="300" t="str">
        <f t="shared" ca="1" si="7"/>
        <v/>
      </c>
      <c r="S56" s="304"/>
      <c r="T56" s="144"/>
      <c r="U56" s="206">
        <f ca="1">IF(OR(AC$8=0,SUM(Z57:AC57)=0),1,IF(L56="l","",SUM(AB57:AC57)))</f>
        <v>1</v>
      </c>
      <c r="V56" s="392"/>
      <c r="W56" s="197"/>
      <c r="Z56"/>
    </row>
    <row r="57" spans="3:29" ht="15" customHeight="1" x14ac:dyDescent="0.15">
      <c r="C57" s="186"/>
      <c r="D57" s="205"/>
      <c r="E57" s="188"/>
      <c r="F57" s="226"/>
      <c r="G57" s="296" t="str">
        <f ca="1">IF(L57="b","",IF(L57="l",0,FIXED(F57,K57,0)&amp;M57))</f>
        <v/>
      </c>
      <c r="H57" s="187"/>
      <c r="I57" s="189"/>
      <c r="K57" s="215"/>
      <c r="L57" t="str">
        <f t="shared" ca="1" si="5"/>
        <v>b</v>
      </c>
      <c r="M57" t="str">
        <f>REPT(" ",3-K57)&amp;IF(K57=0," ","")</f>
        <v xml:space="preserve">    </v>
      </c>
      <c r="O57" s="194"/>
      <c r="P57" s="208">
        <f>IF(ISNUMBER(D57),LOOKUP(D57,$AB$5:$AC$7),D57)</f>
        <v>0</v>
      </c>
      <c r="Q57" s="208">
        <f t="shared" si="6"/>
        <v>0</v>
      </c>
      <c r="R57" s="301" t="str">
        <f t="shared" ca="1" si="7"/>
        <v/>
      </c>
      <c r="S57" s="305">
        <f>H57</f>
        <v>0</v>
      </c>
      <c r="T57" s="145"/>
      <c r="U57" s="216">
        <f ca="1">IF(L57="l","",IF(D57+F57&gt;0,SUM(Z57:AA57),-1))</f>
        <v>-1</v>
      </c>
      <c r="V57" s="386"/>
      <c r="W57" s="142"/>
      <c r="Y57" s="114"/>
      <c r="Z57" s="114">
        <f>IF(D57&gt;0,0,TRUNC(F57*T57+Y57*X57))</f>
        <v>0</v>
      </c>
      <c r="AA57" t="b">
        <f>IF($D57=1,SUM(Z$13:Z55)-SUM(AA$13:AA55),IF($D57=2,$AA$6,IF($D57=3,TRUNC($AA$6,-3))))</f>
        <v>0</v>
      </c>
      <c r="AB57">
        <f ca="1">IF(OR(AC$8=0,L56="l",D57&gt;0,U57=-1),0,IF(L56="b",-U57,TRUNC(F56*T57)))</f>
        <v>0</v>
      </c>
      <c r="AC57" t="b">
        <f>IF($D57=1,SUM(AB$13:AB55)-SUM(AC$13:AC55),IF($D57=2,$AA$5,IF($D57=3,TRUNC($AA$5,-3))))</f>
        <v>0</v>
      </c>
    </row>
    <row r="58" spans="3:29" ht="15" customHeight="1" x14ac:dyDescent="0.15">
      <c r="C58" s="182"/>
      <c r="D58" s="210"/>
      <c r="E58" s="184"/>
      <c r="F58" s="227"/>
      <c r="G58" s="297" t="str">
        <f ca="1">IF(OR(AC$8=0,L58="b"),"",IF(L58="l",0,"("&amp;FIXED(-F58,K59,0)&amp;M58))</f>
        <v/>
      </c>
      <c r="H58" s="183"/>
      <c r="I58" s="185"/>
      <c r="L58" t="str">
        <f t="shared" ca="1" si="5"/>
        <v>b</v>
      </c>
      <c r="M58" t="str">
        <f>")"&amp;REPT(" ",2-K59)&amp;IF(K59=0," ","")</f>
        <v xml:space="preserve">)   </v>
      </c>
      <c r="O58" s="194"/>
      <c r="P58" s="207">
        <f>D58</f>
        <v>0</v>
      </c>
      <c r="Q58" s="207">
        <f t="shared" si="6"/>
        <v>0</v>
      </c>
      <c r="R58" s="300" t="str">
        <f t="shared" ca="1" si="7"/>
        <v/>
      </c>
      <c r="S58" s="304"/>
      <c r="T58" s="144"/>
      <c r="U58" s="206">
        <f ca="1">IF(OR(AC$8=0,SUM(Z59:AC59)=0),1,IF(L58="l","",SUM(AB59:AC59)))</f>
        <v>1</v>
      </c>
      <c r="V58" s="385"/>
      <c r="W58" s="50"/>
      <c r="Z58"/>
    </row>
    <row r="59" spans="3:29" ht="15" customHeight="1" x14ac:dyDescent="0.15">
      <c r="C59" s="186"/>
      <c r="D59" s="205"/>
      <c r="E59" s="188"/>
      <c r="F59" s="226"/>
      <c r="G59" s="296" t="str">
        <f ca="1">IF(L59="b","",IF(L59="l",0,FIXED(F59,K59,0)&amp;M59))</f>
        <v/>
      </c>
      <c r="H59" s="187"/>
      <c r="I59" s="189"/>
      <c r="K59" s="215"/>
      <c r="L59" t="str">
        <f t="shared" ca="1" si="5"/>
        <v>b</v>
      </c>
      <c r="M59" t="str">
        <f>REPT(" ",3-K59)&amp;IF(K59=0," ","")</f>
        <v xml:space="preserve">    </v>
      </c>
      <c r="O59" s="194"/>
      <c r="P59" s="208">
        <f>IF(ISNUMBER(D59),LOOKUP(D59,$AB$5:$AC$7),D59)</f>
        <v>0</v>
      </c>
      <c r="Q59" s="208">
        <f t="shared" si="6"/>
        <v>0</v>
      </c>
      <c r="R59" s="301" t="str">
        <f t="shared" ca="1" si="7"/>
        <v/>
      </c>
      <c r="S59" s="305">
        <f>H59</f>
        <v>0</v>
      </c>
      <c r="T59" s="145"/>
      <c r="U59" s="216">
        <f ca="1">IF(L59="l","",IF(D59+F59&gt;0,SUM(Z59:AA59),-1))</f>
        <v>-1</v>
      </c>
      <c r="V59" s="386"/>
      <c r="W59" s="107"/>
      <c r="Z59" s="114">
        <f>IF(D59&gt;0,0,TRUNC(F59*T59+Y59*X59))</f>
        <v>0</v>
      </c>
      <c r="AA59" t="b">
        <f>IF($D59=1,SUM(Z$13:Z57)-SUM(AA$13:AA57),IF($D59=2,$AA$6,IF($D59=3,TRUNC($AA$6,-3))))</f>
        <v>0</v>
      </c>
      <c r="AB59">
        <f ca="1">IF(OR(AC$8=0,L58="l",D59&gt;0,U59=-1),0,IF(L58="b",-U59,TRUNC(F58*T59)))</f>
        <v>0</v>
      </c>
      <c r="AC59" t="b">
        <f>IF($D59=1,SUM(AB$13:AB57)-SUM(AC$13:AC57),IF($D59=2,$AA$5,IF($D59=3,TRUNC($AA$5,-3))))</f>
        <v>0</v>
      </c>
    </row>
    <row r="60" spans="3:29" ht="15" customHeight="1" x14ac:dyDescent="0.15">
      <c r="C60" s="182"/>
      <c r="D60" s="210"/>
      <c r="E60" s="184"/>
      <c r="F60" s="227"/>
      <c r="G60" s="297" t="str">
        <f ca="1">IF(OR(AC$8=0,L60="b"),"",IF(L60="l",0,"("&amp;FIXED(-F60,K61,0)&amp;M60))</f>
        <v/>
      </c>
      <c r="H60" s="183"/>
      <c r="I60" s="185"/>
      <c r="L60" t="str">
        <f t="shared" ca="1" si="5"/>
        <v>b</v>
      </c>
      <c r="M60" t="str">
        <f>")"&amp;REPT(" ",2-K61)&amp;IF(K61=0," ","")</f>
        <v xml:space="preserve">)   </v>
      </c>
      <c r="O60" s="194"/>
      <c r="P60" s="207">
        <f>D60</f>
        <v>0</v>
      </c>
      <c r="Q60" s="207">
        <f t="shared" si="6"/>
        <v>0</v>
      </c>
      <c r="R60" s="300" t="str">
        <f t="shared" ca="1" si="7"/>
        <v/>
      </c>
      <c r="S60" s="304"/>
      <c r="T60" s="144"/>
      <c r="U60" s="206">
        <f ca="1">IF(OR(AC$8=0,SUM(Z61:AC61)=0),1,IF(L60="l","",SUM(AB61:AC61)))</f>
        <v>1</v>
      </c>
      <c r="V60" s="392"/>
      <c r="W60" s="197"/>
      <c r="Z60"/>
    </row>
    <row r="61" spans="3:29" ht="15" customHeight="1" x14ac:dyDescent="0.15">
      <c r="C61" s="186"/>
      <c r="D61" s="205"/>
      <c r="E61" s="188"/>
      <c r="F61" s="226"/>
      <c r="G61" s="296" t="str">
        <f ca="1">IF(L61="b","",IF(L61="l",0,FIXED(F61,K61,0)&amp;M61))</f>
        <v/>
      </c>
      <c r="H61" s="187"/>
      <c r="I61" s="189"/>
      <c r="K61" s="215"/>
      <c r="L61" t="str">
        <f t="shared" ca="1" si="5"/>
        <v>b</v>
      </c>
      <c r="M61" t="str">
        <f>REPT(" ",3-K61)&amp;IF(K61=0," ","")</f>
        <v xml:space="preserve">    </v>
      </c>
      <c r="O61" s="194"/>
      <c r="P61" s="208">
        <f>IF(ISNUMBER(D61),LOOKUP(D61,$AB$5:$AC$7),D61)</f>
        <v>0</v>
      </c>
      <c r="Q61" s="208">
        <f t="shared" si="6"/>
        <v>0</v>
      </c>
      <c r="R61" s="301" t="str">
        <f t="shared" ca="1" si="7"/>
        <v/>
      </c>
      <c r="S61" s="305">
        <f>H61</f>
        <v>0</v>
      </c>
      <c r="T61" s="145"/>
      <c r="U61" s="216">
        <f ca="1">IF(L61="l","",IF(D61+F61&gt;0,SUM(Z61:AA61),-1))</f>
        <v>-1</v>
      </c>
      <c r="V61" s="386"/>
      <c r="W61" s="142"/>
      <c r="Y61" s="114"/>
      <c r="Z61" s="114">
        <f>IF(D61&gt;0,0,TRUNC(F61*T61+Y61*X61))</f>
        <v>0</v>
      </c>
      <c r="AA61" t="b">
        <f>IF($D61=1,SUM(Z$13:Z59)-SUM(AA$13:AA59),IF($D61=2,$AA$6,IF($D61=3,TRUNC($AA$6,-3))))</f>
        <v>0</v>
      </c>
      <c r="AB61">
        <f ca="1">IF(OR(AC$8=0,L60="l",D61&gt;0,U61=-1),0,IF(L60="b",-U61,TRUNC(F60*T61)))</f>
        <v>0</v>
      </c>
      <c r="AC61" t="b">
        <f>IF($D61=1,SUM(AB$13:AB59)-SUM(AC$13:AC59),IF($D61=2,$AA$5,IF($D61=3,TRUNC($AA$5,-3))))</f>
        <v>0</v>
      </c>
    </row>
    <row r="62" spans="3:29" ht="15" customHeight="1" x14ac:dyDescent="0.15">
      <c r="C62" s="182"/>
      <c r="D62" s="210"/>
      <c r="E62" s="184"/>
      <c r="F62" s="227"/>
      <c r="G62" s="297" t="str">
        <f ca="1">IF(OR(AC$8=0,L62="b"),"",IF(L62="l",0,"("&amp;FIXED(-F62,K63,0)&amp;M62))</f>
        <v/>
      </c>
      <c r="H62" s="183"/>
      <c r="I62" s="185"/>
      <c r="L62" t="str">
        <f t="shared" ca="1" si="5"/>
        <v>b</v>
      </c>
      <c r="M62" t="str">
        <f>")"&amp;REPT(" ",2-K63)&amp;IF(K63=0," ","")</f>
        <v xml:space="preserve">)   </v>
      </c>
      <c r="O62" s="194"/>
      <c r="P62" s="207">
        <f>D62</f>
        <v>0</v>
      </c>
      <c r="Q62" s="207">
        <f t="shared" si="6"/>
        <v>0</v>
      </c>
      <c r="R62" s="300" t="str">
        <f t="shared" ca="1" si="7"/>
        <v/>
      </c>
      <c r="S62" s="304"/>
      <c r="T62" s="144"/>
      <c r="U62" s="206">
        <f ca="1">IF(OR(AC$8=0,SUM(Z63:AC63)=0),1,IF(L62="l","",SUM(AB63:AC63)))</f>
        <v>1</v>
      </c>
      <c r="V62" s="385"/>
      <c r="W62" s="50"/>
      <c r="Z62"/>
    </row>
    <row r="63" spans="3:29" ht="15" customHeight="1" x14ac:dyDescent="0.15">
      <c r="C63" s="186"/>
      <c r="D63" s="205"/>
      <c r="E63" s="188"/>
      <c r="F63" s="226"/>
      <c r="G63" s="296" t="str">
        <f ca="1">IF(L63="b","",IF(L63="l",0,FIXED(F63,K63,0)&amp;M63))</f>
        <v/>
      </c>
      <c r="H63" s="187"/>
      <c r="I63" s="189"/>
      <c r="K63" s="215"/>
      <c r="L63" t="str">
        <f t="shared" ca="1" si="5"/>
        <v>b</v>
      </c>
      <c r="M63" t="str">
        <f>REPT(" ",3-K63)&amp;IF(K63=0," ","")</f>
        <v xml:space="preserve">    </v>
      </c>
      <c r="O63" s="194"/>
      <c r="P63" s="208">
        <f>IF(ISNUMBER(D63),LOOKUP(D63,$AB$5:$AC$7),D63)</f>
        <v>0</v>
      </c>
      <c r="Q63" s="208">
        <f t="shared" si="6"/>
        <v>0</v>
      </c>
      <c r="R63" s="301" t="str">
        <f t="shared" ca="1" si="7"/>
        <v/>
      </c>
      <c r="S63" s="305">
        <f>H63</f>
        <v>0</v>
      </c>
      <c r="T63" s="145"/>
      <c r="U63" s="216">
        <f ca="1">IF(L63="l","",IF(D63+F63&gt;0,SUM(Z63:AA63),-1))</f>
        <v>-1</v>
      </c>
      <c r="V63" s="386"/>
      <c r="W63" s="107"/>
      <c r="Z63" s="114">
        <f>IF(D63&gt;0,0,TRUNC(F63*T63+Y63*X63))</f>
        <v>0</v>
      </c>
      <c r="AA63" t="b">
        <f>IF($D63=1,SUM(Z$13:Z61)-SUM(AA$13:AA61),IF($D63=2,$AA$6,IF($D63=3,TRUNC($AA$6,-3))))</f>
        <v>0</v>
      </c>
      <c r="AB63">
        <f ca="1">IF(OR(AC$8=0,L62="l",D63&gt;0,U63=-1),0,IF(L62="b",-U63,TRUNC(F62*T63)))</f>
        <v>0</v>
      </c>
      <c r="AC63" t="b">
        <f>IF($D63=1,SUM(AB$13:AB61)-SUM(AC$13:AC61),IF($D63=2,$AA$5,IF($D63=3,TRUNC($AA$5,-3))))</f>
        <v>0</v>
      </c>
    </row>
    <row r="64" spans="3:29" ht="15" customHeight="1" x14ac:dyDescent="0.15">
      <c r="C64" s="182"/>
      <c r="D64" s="210"/>
      <c r="E64" s="184"/>
      <c r="F64" s="227"/>
      <c r="G64" s="297" t="str">
        <f ca="1">IF(OR(AC$8=0,L64="b"),"",IF(L64="l",0,"("&amp;FIXED(-F64,K65,0)&amp;M64))</f>
        <v/>
      </c>
      <c r="H64" s="183"/>
      <c r="I64" s="185"/>
      <c r="L64" t="str">
        <f t="shared" ca="1" si="5"/>
        <v>b</v>
      </c>
      <c r="M64" t="str">
        <f>")"&amp;REPT(" ",2-K65)&amp;IF(K65=0," ","")</f>
        <v xml:space="preserve">)   </v>
      </c>
      <c r="O64" s="194"/>
      <c r="P64" s="207">
        <f>D64</f>
        <v>0</v>
      </c>
      <c r="Q64" s="207">
        <f t="shared" si="6"/>
        <v>0</v>
      </c>
      <c r="R64" s="300" t="str">
        <f t="shared" ca="1" si="7"/>
        <v/>
      </c>
      <c r="S64" s="304"/>
      <c r="T64" s="144"/>
      <c r="U64" s="206">
        <f ca="1">IF(OR(AC$8=0,SUM(Z65:AC65)=0),1,IF(L64="l","",SUM(AB65:AC65)))</f>
        <v>1</v>
      </c>
      <c r="V64" s="385"/>
      <c r="W64" s="50"/>
      <c r="Z64"/>
    </row>
    <row r="65" spans="1:29" ht="15" customHeight="1" x14ac:dyDescent="0.15">
      <c r="C65" s="186"/>
      <c r="D65" s="205"/>
      <c r="E65" s="188"/>
      <c r="F65" s="226"/>
      <c r="G65" s="296" t="str">
        <f ca="1">IF(L65="b","",IF(L65="l",0,FIXED(F65,K65,0)&amp;M65))</f>
        <v/>
      </c>
      <c r="H65" s="187"/>
      <c r="I65" s="189"/>
      <c r="K65" s="215"/>
      <c r="L65" t="str">
        <f t="shared" ca="1" si="5"/>
        <v>b</v>
      </c>
      <c r="M65" t="str">
        <f>REPT(" ",3-K65)&amp;IF(K65=0," ","")</f>
        <v xml:space="preserve">    </v>
      </c>
      <c r="O65" s="194"/>
      <c r="P65" s="208">
        <f>IF(ISNUMBER(D65),LOOKUP(D65,$AB$5:$AC$7),D65)</f>
        <v>0</v>
      </c>
      <c r="Q65" s="208">
        <f t="shared" si="6"/>
        <v>0</v>
      </c>
      <c r="R65" s="301" t="str">
        <f t="shared" ca="1" si="7"/>
        <v/>
      </c>
      <c r="S65" s="305">
        <f>H65</f>
        <v>0</v>
      </c>
      <c r="T65" s="145"/>
      <c r="U65" s="216">
        <f ca="1">IF(L65="l","",IF(D65+F65&gt;0,SUM(Z65:AA65),-1))</f>
        <v>-1</v>
      </c>
      <c r="V65" s="386"/>
      <c r="W65" s="107"/>
      <c r="Z65" s="114">
        <f>IF(D65&gt;0,0,TRUNC(F65*T65+Y65*X65))</f>
        <v>0</v>
      </c>
      <c r="AA65" t="b">
        <f>IF($D65=1,SUM(Z$13:Z63)-SUM(AA$13:AA63),IF($D65=2,$AA$6,IF($D65=3,TRUNC($AA$6,-3))))</f>
        <v>0</v>
      </c>
      <c r="AB65">
        <f ca="1">IF(OR(AC$8=0,L64="l",D65&gt;0,U65=-1),0,IF(L64="b",-U65,TRUNC(F64*T65)))</f>
        <v>0</v>
      </c>
      <c r="AC65" t="b">
        <f>IF($D65=1,SUM(AB$13:AB63)-SUM(AC$13:AC63),IF($D65=2,$AA$5,IF($D65=3,TRUNC($AA$5,-3))))</f>
        <v>0</v>
      </c>
    </row>
    <row r="66" spans="1:29" ht="15" customHeight="1" x14ac:dyDescent="0.15">
      <c r="C66" s="182"/>
      <c r="D66" s="210"/>
      <c r="E66" s="184"/>
      <c r="F66" s="227"/>
      <c r="G66" s="297" t="str">
        <f ca="1">IF(OR(AC$8=0,L66="b"),"",IF(L66="l",0,"("&amp;FIXED(-F66,K67,0)&amp;M66))</f>
        <v/>
      </c>
      <c r="H66" s="183"/>
      <c r="I66" s="185"/>
      <c r="L66" t="str">
        <f t="shared" ca="1" si="5"/>
        <v>b</v>
      </c>
      <c r="M66" t="str">
        <f>")"&amp;REPT(" ",2-K67)&amp;IF(K67=0," ","")</f>
        <v xml:space="preserve">)   </v>
      </c>
      <c r="O66" s="194"/>
      <c r="P66" s="207">
        <f>D66</f>
        <v>0</v>
      </c>
      <c r="Q66" s="207">
        <f t="shared" si="6"/>
        <v>0</v>
      </c>
      <c r="R66" s="300" t="str">
        <f t="shared" ca="1" si="7"/>
        <v/>
      </c>
      <c r="S66" s="304"/>
      <c r="T66" s="144"/>
      <c r="U66" s="206">
        <f ca="1">IF(OR(AC$8=0,SUM(Z67:AC67)=0),1,IF(L66="l","",SUM(AB67:AC67)))</f>
        <v>1</v>
      </c>
      <c r="V66" s="392"/>
      <c r="W66" s="197"/>
      <c r="Z66"/>
    </row>
    <row r="67" spans="1:29" ht="15" customHeight="1" x14ac:dyDescent="0.15">
      <c r="C67" s="186"/>
      <c r="D67" s="205"/>
      <c r="E67" s="188"/>
      <c r="F67" s="226"/>
      <c r="G67" s="296" t="str">
        <f ca="1">IF(L67="b","",IF(L67="l",0,FIXED(F67,K67,0)&amp;M67))</f>
        <v/>
      </c>
      <c r="H67" s="187"/>
      <c r="I67" s="189"/>
      <c r="K67" s="215"/>
      <c r="L67" t="str">
        <f t="shared" ca="1" si="5"/>
        <v>b</v>
      </c>
      <c r="M67" t="str">
        <f>REPT(" ",3-K67)&amp;IF(K67=0," ","")</f>
        <v xml:space="preserve">    </v>
      </c>
      <c r="O67" s="194"/>
      <c r="P67" s="208">
        <f>IF(ISNUMBER(D67),LOOKUP(D67,$AB$5:$AC$7),D67)</f>
        <v>0</v>
      </c>
      <c r="Q67" s="208">
        <f t="shared" si="6"/>
        <v>0</v>
      </c>
      <c r="R67" s="301" t="str">
        <f t="shared" ca="1" si="7"/>
        <v/>
      </c>
      <c r="S67" s="305">
        <f>H67</f>
        <v>0</v>
      </c>
      <c r="T67" s="145"/>
      <c r="U67" s="216">
        <f ca="1">IF(L67="l","",IF(D67+F67&gt;0,SUM(Z67:AA67),-1))</f>
        <v>-1</v>
      </c>
      <c r="V67" s="386"/>
      <c r="W67" s="142"/>
      <c r="Y67" s="114"/>
      <c r="Z67" s="114">
        <f>IF(D67&gt;0,0,TRUNC(F67*T67+Y67*X67))</f>
        <v>0</v>
      </c>
      <c r="AA67" t="b">
        <f>IF($D67=1,SUM(Z$13:Z65)-SUM(AA$13:AA65),IF($D67=2,$AA$6,IF($D67=3,TRUNC($AA$6,-3))))</f>
        <v>0</v>
      </c>
      <c r="AB67">
        <f ca="1">IF(OR(AC$8=0,L66="l",D67&gt;0,U67=-1),0,IF(L66="b",-U67,TRUNC(F66*T67)))</f>
        <v>0</v>
      </c>
      <c r="AC67" t="b">
        <f>IF($D67=1,SUM(AB$13:AB65)-SUM(AC$13:AC65),IF($D67=2,$AA$5,IF($D67=3,TRUNC($AA$5,-3))))</f>
        <v>0</v>
      </c>
    </row>
    <row r="68" spans="1:29" ht="15" customHeight="1" x14ac:dyDescent="0.15">
      <c r="C68" s="182"/>
      <c r="D68" s="210"/>
      <c r="E68" s="184"/>
      <c r="F68" s="227"/>
      <c r="G68" s="297" t="str">
        <f ca="1">IF(OR(AC$8=0,L68="b"),"",IF(L68="l",0,"("&amp;FIXED(-F68,K69,0)&amp;M68))</f>
        <v/>
      </c>
      <c r="H68" s="183"/>
      <c r="I68" s="185"/>
      <c r="L68" t="str">
        <f t="shared" ca="1" si="5"/>
        <v>b</v>
      </c>
      <c r="M68" t="str">
        <f>")"&amp;REPT(" ",2-K69)&amp;IF(K69=0," ","")</f>
        <v xml:space="preserve">)   </v>
      </c>
      <c r="O68" s="194"/>
      <c r="P68" s="207">
        <f>D68</f>
        <v>0</v>
      </c>
      <c r="Q68" s="207">
        <f t="shared" si="6"/>
        <v>0</v>
      </c>
      <c r="R68" s="300" t="str">
        <f t="shared" ca="1" si="7"/>
        <v/>
      </c>
      <c r="S68" s="304"/>
      <c r="T68" s="149"/>
      <c r="U68" s="206">
        <f ca="1">IF(OR(AC$8=0,SUM(Z69:AC69)=0),1,IF(L68="l","",SUM(AB69:AC69)))</f>
        <v>1</v>
      </c>
      <c r="V68" s="394"/>
      <c r="W68" s="50"/>
      <c r="Z68"/>
    </row>
    <row r="69" spans="1:29" ht="15" customHeight="1" x14ac:dyDescent="0.15">
      <c r="C69" s="186"/>
      <c r="D69" s="205">
        <v>2</v>
      </c>
      <c r="E69" s="188"/>
      <c r="F69" s="226"/>
      <c r="G69" s="296" t="str">
        <f ca="1">IF(L69="b","",IF(L69="l",0,FIXED(F69,K69,0)&amp;M69))</f>
        <v/>
      </c>
      <c r="H69" s="187"/>
      <c r="I69" s="189"/>
      <c r="K69" s="215"/>
      <c r="L69" t="str">
        <f t="shared" ca="1" si="5"/>
        <v>b</v>
      </c>
      <c r="M69" t="str">
        <f>REPT(" ",3-K69)&amp;IF(K69=0," ","")</f>
        <v xml:space="preserve">    </v>
      </c>
      <c r="O69" s="194"/>
      <c r="P69" s="208" t="str">
        <f>IF(ISNUMBER(D69),LOOKUP(D69,$AB$5:$AC$7),D69)</f>
        <v>合　　　計</v>
      </c>
      <c r="Q69" s="208">
        <f t="shared" si="6"/>
        <v>0</v>
      </c>
      <c r="R69" s="301" t="str">
        <f t="shared" ca="1" si="7"/>
        <v/>
      </c>
      <c r="S69" s="305">
        <f>H69</f>
        <v>0</v>
      </c>
      <c r="T69" s="150"/>
      <c r="U69" s="216">
        <f ca="1">IF(L69="l","",IF(D69+F69&gt;0,SUM(Z69:AA69),-1))</f>
        <v>502857</v>
      </c>
      <c r="V69" s="395"/>
      <c r="W69" s="107"/>
      <c r="Z69" s="114">
        <f>IF(D69&gt;0,0,TRUNC(F69*T69+Y69*X69))</f>
        <v>0</v>
      </c>
      <c r="AA69">
        <f ca="1">IF($D69=1,SUM(Z$13:Z67)-SUM(AA$13:AA67),IF($D69=2,$AA$6,IF($D69=3,TRUNC($AA$6,-3))))</f>
        <v>502857</v>
      </c>
      <c r="AB69">
        <f ca="1">IF(OR(AC$8=0,L68="l",D69&gt;0,U69=-1),0,IF(L68="b",-U69,TRUNC(F68*T69)))</f>
        <v>0</v>
      </c>
      <c r="AC69">
        <f ca="1">IF($D69=1,SUM(AB$13:AB67)-SUM(AC$13:AC67),IF($D69=2,$AA$5,IF($D69=3,TRUNC($AA$5,-3))))</f>
        <v>0</v>
      </c>
    </row>
    <row r="70" spans="1:29" ht="15" customHeight="1" x14ac:dyDescent="0.15">
      <c r="C70" s="182"/>
      <c r="D70" s="210"/>
      <c r="E70" s="184"/>
      <c r="F70" s="227"/>
      <c r="G70" s="297" t="str">
        <f ca="1">IF(OR(AC$8=0,L70="b"),"",IF(L70="l",0,"("&amp;FIXED(-F70,K71,0)&amp;M70))</f>
        <v/>
      </c>
      <c r="H70" s="183"/>
      <c r="I70" s="185"/>
      <c r="L70" t="str">
        <f t="shared" ca="1" si="5"/>
        <v>b</v>
      </c>
      <c r="M70" t="str">
        <f>")"&amp;REPT(" ",2-K71)&amp;IF(K71=0," ","")</f>
        <v xml:space="preserve">)   </v>
      </c>
      <c r="O70" s="194"/>
      <c r="P70" s="207">
        <f>D70</f>
        <v>0</v>
      </c>
      <c r="Q70" s="207">
        <f t="shared" si="6"/>
        <v>0</v>
      </c>
      <c r="R70" s="300" t="str">
        <f t="shared" ca="1" si="7"/>
        <v/>
      </c>
      <c r="S70" s="304"/>
      <c r="T70" s="149"/>
      <c r="U70" s="206">
        <f ca="1">IF(OR(AC$8=0,SUM(Z71:AC71)=0),1,IF(L70="l","",SUM(AB71:AC71)))</f>
        <v>1</v>
      </c>
      <c r="V70" s="394"/>
      <c r="W70" s="50"/>
      <c r="Z70"/>
    </row>
    <row r="71" spans="1:29" ht="15" customHeight="1" x14ac:dyDescent="0.15">
      <c r="C71" s="186"/>
      <c r="D71" s="205">
        <v>3</v>
      </c>
      <c r="E71" s="188"/>
      <c r="F71" s="226"/>
      <c r="G71" s="296" t="str">
        <f ca="1">IF(L71="b","",IF(L71="l",0,FIXED(F71,K71,0)&amp;M71))</f>
        <v/>
      </c>
      <c r="H71" s="187"/>
      <c r="I71" s="189"/>
      <c r="K71" s="215"/>
      <c r="L71" t="str">
        <f t="shared" ca="1" si="5"/>
        <v>b</v>
      </c>
      <c r="M71" t="str">
        <f>REPT(" ",3-K71)&amp;IF(K71=0," ","")</f>
        <v xml:space="preserve">    </v>
      </c>
      <c r="O71" s="194"/>
      <c r="P71" s="208" t="str">
        <f>IF(ISNUMBER(D71),LOOKUP(D71,$AB$5:$AC$7),D71)</f>
        <v>改　　　め</v>
      </c>
      <c r="Q71" s="208">
        <f t="shared" si="6"/>
        <v>0</v>
      </c>
      <c r="R71" s="301" t="str">
        <f t="shared" ca="1" si="7"/>
        <v/>
      </c>
      <c r="S71" s="305">
        <f>H71</f>
        <v>0</v>
      </c>
      <c r="T71" s="150"/>
      <c r="U71" s="216">
        <f ca="1">IF(L71="l","",IF(D71+F71&gt;0,SUM(Z71:AA71),-1))</f>
        <v>502000</v>
      </c>
      <c r="V71" s="395"/>
      <c r="W71" s="107"/>
      <c r="Z71" s="114">
        <f>IF(D71&gt;0,0,TRUNC(F71*T71+Y71*X71))</f>
        <v>0</v>
      </c>
      <c r="AA71">
        <f ca="1">IF($D71=1,SUM(Z$13:Z69)-SUM(AA$13:AA69),IF($D71=2,$AA$6,IF($D71=3,TRUNC($AA$6,-3))))</f>
        <v>502000</v>
      </c>
      <c r="AB71">
        <f ca="1">IF(OR(AC$8=0,L70="l",D71&gt;0,U71=-1),0,IF(L70="b",-U71,TRUNC(F70*T71)))</f>
        <v>0</v>
      </c>
      <c r="AC71">
        <f ca="1">IF($D71=1,SUM(AB$13:AB69)-SUM(AC$13:AC69),IF($D71=2,$AA$5,IF($D71=3,TRUNC($AA$5,-3))))</f>
        <v>0</v>
      </c>
    </row>
    <row r="72" spans="1:29" ht="15" customHeight="1" x14ac:dyDescent="0.15">
      <c r="C72" s="182"/>
      <c r="D72" s="210"/>
      <c r="E72" s="184"/>
      <c r="F72" s="227"/>
      <c r="G72" s="297" t="str">
        <f ca="1">IF(OR(AC$8=0,L72="b"),"",IF(L72="l",0,"("&amp;FIXED(-F72,K73,0)&amp;M72))</f>
        <v/>
      </c>
      <c r="H72" s="183"/>
      <c r="I72" s="185"/>
      <c r="L72" t="str">
        <f t="shared" ca="1" si="5"/>
        <v>b</v>
      </c>
      <c r="M72" t="str">
        <f>")"&amp;REPT(" ",2-K73)&amp;IF(K73=0," ","")</f>
        <v xml:space="preserve">)   </v>
      </c>
      <c r="O72" s="194"/>
      <c r="P72" s="207">
        <f>D72</f>
        <v>0</v>
      </c>
      <c r="Q72" s="207">
        <f t="shared" si="6"/>
        <v>0</v>
      </c>
      <c r="R72" s="300" t="str">
        <f t="shared" ca="1" si="7"/>
        <v/>
      </c>
      <c r="S72" s="304"/>
      <c r="T72" s="149"/>
      <c r="U72" s="206">
        <f ca="1">IF(OR(AC$8=0,SUM(Z73:AC73)=0),1,IF(L72="l","",SUM(AB73:AC73)))</f>
        <v>1</v>
      </c>
      <c r="V72" s="394"/>
      <c r="W72" s="50"/>
      <c r="Z72"/>
    </row>
    <row r="73" spans="1:29" ht="15" customHeight="1" thickBot="1" x14ac:dyDescent="0.2">
      <c r="C73" s="190"/>
      <c r="D73" s="211"/>
      <c r="E73" s="192"/>
      <c r="F73" s="228"/>
      <c r="G73" s="298" t="str">
        <f ca="1">IF(L73="b","",IF(L73="l",0,FIXED(F73,K73,0)&amp;M73))</f>
        <v/>
      </c>
      <c r="H73" s="191"/>
      <c r="I73" s="193"/>
      <c r="K73" s="215"/>
      <c r="L73" t="str">
        <f t="shared" ca="1" si="5"/>
        <v>b</v>
      </c>
      <c r="M73" t="str">
        <f>REPT(" ",3-K73)&amp;IF(K73=0," ","")</f>
        <v xml:space="preserve">    </v>
      </c>
      <c r="O73" s="254"/>
      <c r="P73" s="209">
        <f>IF(ISNUMBER(D73),LOOKUP(D73,$AB$5:$AC$7),D73)</f>
        <v>0</v>
      </c>
      <c r="Q73" s="209">
        <f t="shared" si="6"/>
        <v>0</v>
      </c>
      <c r="R73" s="302" t="str">
        <f t="shared" ca="1" si="7"/>
        <v/>
      </c>
      <c r="S73" s="306">
        <f>H73</f>
        <v>0</v>
      </c>
      <c r="T73" s="151"/>
      <c r="U73" s="217">
        <f ca="1">IF(L73="l","",IF(D73+F73&gt;0,SUM(Z73:AA73),-1))</f>
        <v>-1</v>
      </c>
      <c r="V73" s="396"/>
      <c r="W73" s="55"/>
      <c r="Z73" s="114">
        <f>IF(D73&gt;0,0,TRUNC(F73*T73+Y73*X73))</f>
        <v>0</v>
      </c>
      <c r="AA73" t="b">
        <f>IF($D73=1,SUM(Z$13:Z71)-SUM(AA$13:AA71),IF($D73=2,$AA$6,IF($D73=3,TRUNC($AA$6,-3))))</f>
        <v>0</v>
      </c>
      <c r="AB73">
        <f ca="1">IF(OR(AC$8=0,L72="l",D73&gt;0,U73=-1),0,IF(L72="b",-U73,TRUNC(F72*T73)))</f>
        <v>0</v>
      </c>
      <c r="AC73" t="b">
        <f>IF($D73=1,SUM(AB$13:AB71)-SUM(AC$13:AC71),IF($D73=2,$AA$5,IF($D73=3,TRUNC($AA$5,-3))))</f>
        <v>0</v>
      </c>
    </row>
    <row r="74" spans="1:29" ht="13.5" customHeight="1" thickBot="1" x14ac:dyDescent="0.2">
      <c r="A74" s="257" t="b">
        <f>SUM(F79:F141)&gt;0</f>
        <v>0</v>
      </c>
      <c r="B74" s="257"/>
      <c r="C74" s="257"/>
      <c r="D74" s="257"/>
      <c r="E74" s="257"/>
      <c r="F74" s="257"/>
      <c r="G74" s="484" t="s">
        <v>614</v>
      </c>
      <c r="H74" s="257"/>
      <c r="I74" s="257" t="str">
        <f>"( "&amp;FIXED(SUM(A$8:A74),0)&amp;" ／ "&amp;FIXED(B$8,0)&amp;" )"</f>
        <v>( 1 ／ 1 )</v>
      </c>
      <c r="J74" s="257"/>
      <c r="K74" s="257"/>
      <c r="L74" s="257"/>
      <c r="M74" s="257"/>
      <c r="N74" s="257"/>
      <c r="O74" s="257"/>
      <c r="P74" s="257"/>
      <c r="Q74" s="257"/>
      <c r="R74" s="257"/>
      <c r="S74" s="257"/>
      <c r="T74" s="257"/>
      <c r="U74" s="258" t="str">
        <f>G74</f>
        <v>電気設備(避雷)</v>
      </c>
      <c r="V74" s="390"/>
      <c r="W74" s="257" t="str">
        <f>"( "&amp;FIXED(SUM(A$8:A74),0)&amp;" ／ "&amp;FIXED(B$8,0)&amp;" )"</f>
        <v>( 1 ／ 1 )</v>
      </c>
      <c r="Z74"/>
    </row>
    <row r="75" spans="1:29" ht="13.5" customHeight="1" x14ac:dyDescent="0.15">
      <c r="C75" s="16"/>
      <c r="D75" s="102"/>
      <c r="E75" s="102"/>
      <c r="F75" s="18"/>
      <c r="G75" s="102"/>
      <c r="H75" s="102"/>
      <c r="I75" s="48"/>
      <c r="O75" s="780" t="s">
        <v>258</v>
      </c>
      <c r="P75" s="47"/>
      <c r="Q75" s="47"/>
      <c r="R75" s="102"/>
      <c r="S75" s="47"/>
      <c r="T75" s="109" t="s">
        <v>88</v>
      </c>
      <c r="U75" s="110"/>
      <c r="V75" s="781" t="s">
        <v>257</v>
      </c>
      <c r="W75" s="48"/>
    </row>
    <row r="76" spans="1:29" ht="13.5" customHeight="1" x14ac:dyDescent="0.15">
      <c r="C76" s="24" t="s">
        <v>222</v>
      </c>
      <c r="D76" s="6" t="s">
        <v>223</v>
      </c>
      <c r="E76" s="7" t="s">
        <v>224</v>
      </c>
      <c r="F76" s="25"/>
      <c r="G76" s="6" t="s">
        <v>105</v>
      </c>
      <c r="H76" s="6" t="s">
        <v>92</v>
      </c>
      <c r="I76" s="69" t="s">
        <v>225</v>
      </c>
      <c r="O76" s="752"/>
      <c r="P76" s="6" t="s">
        <v>89</v>
      </c>
      <c r="Q76" s="6" t="s">
        <v>90</v>
      </c>
      <c r="R76" s="7" t="s">
        <v>91</v>
      </c>
      <c r="S76" s="6" t="s">
        <v>92</v>
      </c>
      <c r="T76" s="6" t="s">
        <v>93</v>
      </c>
      <c r="U76" s="6" t="s">
        <v>94</v>
      </c>
      <c r="V76" s="782"/>
      <c r="W76" s="106" t="s">
        <v>226</v>
      </c>
      <c r="Z76"/>
    </row>
    <row r="77" spans="1:29" ht="13.5" customHeight="1" thickBot="1" x14ac:dyDescent="0.2">
      <c r="C77" s="71"/>
      <c r="D77" s="40"/>
      <c r="E77" s="40"/>
      <c r="F77" s="36"/>
      <c r="G77" s="40"/>
      <c r="H77" s="40"/>
      <c r="I77" s="52"/>
      <c r="M77" t="s">
        <v>227</v>
      </c>
      <c r="O77" s="753"/>
      <c r="P77" s="39"/>
      <c r="Q77" s="39"/>
      <c r="R77" s="40"/>
      <c r="S77" s="39"/>
      <c r="T77" s="56" t="s">
        <v>96</v>
      </c>
      <c r="U77" s="56" t="s">
        <v>96</v>
      </c>
      <c r="V77" s="783"/>
      <c r="W77" s="52"/>
    </row>
    <row r="78" spans="1:29" ht="15" customHeight="1" thickTop="1" x14ac:dyDescent="0.15">
      <c r="C78" s="182"/>
      <c r="D78" s="210"/>
      <c r="E78" s="184"/>
      <c r="F78" s="227"/>
      <c r="G78" s="297" t="str">
        <f ca="1">IF(OR(AC$8=0,L78="b"),"",IF(L78="l",0,"("&amp;FIXED(-F78,K79,0)&amp;M78))</f>
        <v/>
      </c>
      <c r="H78" s="183"/>
      <c r="I78" s="185"/>
      <c r="L78" t="str">
        <f t="shared" ref="L78:L109" ca="1" si="8">CELL("type",F78)</f>
        <v>b</v>
      </c>
      <c r="M78" t="str">
        <f>")"&amp;REPT(" ",2-K79)&amp;IF(K79=0," ","")</f>
        <v xml:space="preserve">)   </v>
      </c>
      <c r="O78" s="182"/>
      <c r="P78" s="207">
        <f>D78</f>
        <v>0</v>
      </c>
      <c r="Q78" s="207">
        <f>E78</f>
        <v>0</v>
      </c>
      <c r="R78" s="300" t="str">
        <f t="shared" ref="R78:R109" ca="1" si="9">G78</f>
        <v/>
      </c>
      <c r="S78" s="304"/>
      <c r="T78" s="149"/>
      <c r="U78" s="206">
        <f ca="1">IF(OR(AC$8=0,SUM(Z79:AC79)=0),1,IF(L78="l","",SUM(AB79:AC79)))</f>
        <v>1</v>
      </c>
      <c r="V78" s="394"/>
      <c r="W78" s="50"/>
      <c r="Z78"/>
    </row>
    <row r="79" spans="1:29" ht="15" customHeight="1" x14ac:dyDescent="0.15">
      <c r="C79" s="186"/>
      <c r="D79" s="205"/>
      <c r="E79" s="188"/>
      <c r="F79" s="226"/>
      <c r="G79" s="296" t="str">
        <f ca="1">IF(L79="b","",IF(L79="l",0,FIXED(F79,K79,0)&amp;M79))</f>
        <v/>
      </c>
      <c r="H79" s="187"/>
      <c r="I79" s="189"/>
      <c r="K79" s="215"/>
      <c r="L79" t="str">
        <f t="shared" ca="1" si="8"/>
        <v>b</v>
      </c>
      <c r="M79" t="str">
        <f>REPT(" ",3-K79)&amp;IF(K79=0," ","")</f>
        <v xml:space="preserve">    </v>
      </c>
      <c r="O79" s="182"/>
      <c r="P79" s="208">
        <f>IF(ISNUMBER(D79),LOOKUP(D79,$AB$5:$AC$7),D79)</f>
        <v>0</v>
      </c>
      <c r="Q79" s="208">
        <f t="shared" ref="Q79:Q110" si="10">E79</f>
        <v>0</v>
      </c>
      <c r="R79" s="301" t="str">
        <f t="shared" ca="1" si="9"/>
        <v/>
      </c>
      <c r="S79" s="305">
        <f>H79</f>
        <v>0</v>
      </c>
      <c r="T79" s="150"/>
      <c r="U79" s="216">
        <f ca="1">IF(L79="l","",IF(D79+F79&gt;0,SUM(Z79:AA79),-1))</f>
        <v>-1</v>
      </c>
      <c r="V79" s="395"/>
      <c r="W79" s="107"/>
      <c r="Z79" s="114">
        <f>IF(D79&gt;0,0,TRUNC(F79*T79+Y79*X79))</f>
        <v>0</v>
      </c>
      <c r="AA79" t="b">
        <f>IF($D79=1,SUM(Z$13:Z77)-SUM(AA$13:AA77),IF($D79=2,$AA$6,IF($D79=3,TRUNC($AA$6,-3))))</f>
        <v>0</v>
      </c>
      <c r="AB79">
        <f ca="1">IF(OR(AC$8=0,L78="l",D79&gt;0,U79=-1),0,IF(L78="b",-U79,TRUNC(F78*T79)))</f>
        <v>0</v>
      </c>
      <c r="AC79" t="b">
        <f>IF($D79=1,SUM(AB$13:AB77)-SUM(AC$13:AC77),IF($D79=2,$AA$5,IF($D79=3,TRUNC($AA$5,-3))))</f>
        <v>0</v>
      </c>
    </row>
    <row r="80" spans="1:29" ht="15" customHeight="1" x14ac:dyDescent="0.15">
      <c r="C80" s="182"/>
      <c r="D80" s="210"/>
      <c r="E80" s="184"/>
      <c r="F80" s="227"/>
      <c r="G80" s="297" t="str">
        <f ca="1">IF(OR(AC$8=0,L80="b"),"",IF(L80="l",0,"("&amp;FIXED(-F80,K81,0)&amp;M80))</f>
        <v/>
      </c>
      <c r="H80" s="183"/>
      <c r="I80" s="185"/>
      <c r="L80" t="str">
        <f t="shared" ca="1" si="8"/>
        <v>b</v>
      </c>
      <c r="M80" t="str">
        <f>")"&amp;REPT(" ",2-K81)&amp;IF(K81=0," ","")</f>
        <v xml:space="preserve">)   </v>
      </c>
      <c r="O80" s="194"/>
      <c r="P80" s="207">
        <f>D80</f>
        <v>0</v>
      </c>
      <c r="Q80" s="207">
        <f t="shared" si="10"/>
        <v>0</v>
      </c>
      <c r="R80" s="300" t="str">
        <f t="shared" ca="1" si="9"/>
        <v/>
      </c>
      <c r="S80" s="304"/>
      <c r="T80" s="149"/>
      <c r="U80" s="206">
        <f ca="1">IF(OR(AC$8=0,SUM(Z81:AC81)=0),1,IF(L80="l","",SUM(AB81:AC81)))</f>
        <v>1</v>
      </c>
      <c r="V80" s="394"/>
      <c r="W80" s="50"/>
      <c r="Z80"/>
    </row>
    <row r="81" spans="3:29" ht="15" customHeight="1" x14ac:dyDescent="0.15">
      <c r="C81" s="186"/>
      <c r="D81" s="205"/>
      <c r="E81" s="188"/>
      <c r="F81" s="226"/>
      <c r="G81" s="296" t="str">
        <f ca="1">IF(L81="b","",IF(L81="l",0,FIXED(F81,K81,0)&amp;M81))</f>
        <v/>
      </c>
      <c r="H81" s="187"/>
      <c r="I81" s="189"/>
      <c r="K81" s="215"/>
      <c r="L81" t="str">
        <f t="shared" ca="1" si="8"/>
        <v>b</v>
      </c>
      <c r="M81" t="str">
        <f>REPT(" ",3-K81)&amp;IF(K81=0," ","")</f>
        <v xml:space="preserve">    </v>
      </c>
      <c r="O81" s="194"/>
      <c r="P81" s="208">
        <f>IF(ISNUMBER(D81),LOOKUP(D81,$AB$5:$AC$7),D81)</f>
        <v>0</v>
      </c>
      <c r="Q81" s="208">
        <f t="shared" si="10"/>
        <v>0</v>
      </c>
      <c r="R81" s="301" t="str">
        <f t="shared" ca="1" si="9"/>
        <v/>
      </c>
      <c r="S81" s="305">
        <f>H81</f>
        <v>0</v>
      </c>
      <c r="T81" s="150"/>
      <c r="U81" s="216">
        <f ca="1">IF(L81="l","",IF(D81+F81&gt;0,SUM(Z81:AA81),-1))</f>
        <v>-1</v>
      </c>
      <c r="V81" s="395"/>
      <c r="W81" s="107"/>
      <c r="Z81" s="114">
        <f>IF(D81&gt;0,0,TRUNC(F81*T81+Y81*X81))</f>
        <v>0</v>
      </c>
      <c r="AA81" t="b">
        <f>IF($D81=1,SUM(Z$13:Z79)-SUM(AA$13:AA79),IF($D81=2,$AA$6,IF($D81=3,TRUNC($AA$6,-3))))</f>
        <v>0</v>
      </c>
      <c r="AB81">
        <f ca="1">IF(OR(AC$8=0,L80="l",D81&gt;0,U81=-1),0,IF(L80="b",-U81,TRUNC(F80*T81)))</f>
        <v>0</v>
      </c>
      <c r="AC81" t="b">
        <f>IF($D81=1,SUM(AB$13:AB79)-SUM(AC$13:AC79),IF($D81=2,$AA$5,IF($D81=3,TRUNC($AA$5,-3))))</f>
        <v>0</v>
      </c>
    </row>
    <row r="82" spans="3:29" ht="15" customHeight="1" x14ac:dyDescent="0.15">
      <c r="C82" s="182"/>
      <c r="D82" s="210"/>
      <c r="E82" s="184"/>
      <c r="F82" s="227"/>
      <c r="G82" s="297" t="str">
        <f ca="1">IF(OR(AC$8=0,L82="b"),"",IF(L82="l",0,"("&amp;FIXED(-F82,K83,0)&amp;M82))</f>
        <v/>
      </c>
      <c r="H82" s="183"/>
      <c r="I82" s="185"/>
      <c r="L82" t="str">
        <f t="shared" ca="1" si="8"/>
        <v>b</v>
      </c>
      <c r="M82" t="str">
        <f>")"&amp;REPT(" ",2-K83)&amp;IF(K83=0," ","")</f>
        <v xml:space="preserve">)   </v>
      </c>
      <c r="O82" s="194"/>
      <c r="P82" s="207">
        <f>D82</f>
        <v>0</v>
      </c>
      <c r="Q82" s="207">
        <f t="shared" si="10"/>
        <v>0</v>
      </c>
      <c r="R82" s="300" t="str">
        <f t="shared" ca="1" si="9"/>
        <v/>
      </c>
      <c r="S82" s="304"/>
      <c r="T82" s="149"/>
      <c r="U82" s="206">
        <f ca="1">IF(OR(AC$8=0,SUM(Z83:AC83)=0),1,IF(L82="l","",SUM(AB83:AC83)))</f>
        <v>1</v>
      </c>
      <c r="V82" s="394"/>
      <c r="W82" s="50"/>
      <c r="Z82"/>
    </row>
    <row r="83" spans="3:29" ht="15" customHeight="1" x14ac:dyDescent="0.15">
      <c r="C83" s="186"/>
      <c r="D83" s="205"/>
      <c r="E83" s="188"/>
      <c r="F83" s="226"/>
      <c r="G83" s="296" t="str">
        <f ca="1">IF(L83="b","",IF(L83="l",0,FIXED(F83,K83,0)&amp;M83))</f>
        <v/>
      </c>
      <c r="H83" s="187"/>
      <c r="I83" s="189"/>
      <c r="K83" s="215"/>
      <c r="L83" t="str">
        <f t="shared" ca="1" si="8"/>
        <v>b</v>
      </c>
      <c r="M83" t="str">
        <f>REPT(" ",3-K83)&amp;IF(K83=0," ","")</f>
        <v xml:space="preserve">    </v>
      </c>
      <c r="O83" s="194"/>
      <c r="P83" s="208">
        <f>IF(ISNUMBER(D83),LOOKUP(D83,$AB$5:$AC$7),D83)</f>
        <v>0</v>
      </c>
      <c r="Q83" s="208">
        <f t="shared" si="10"/>
        <v>0</v>
      </c>
      <c r="R83" s="301" t="str">
        <f t="shared" ca="1" si="9"/>
        <v/>
      </c>
      <c r="S83" s="305">
        <f>H83</f>
        <v>0</v>
      </c>
      <c r="T83" s="150"/>
      <c r="U83" s="216">
        <f ca="1">IF(L83="l","",IF(D83+F83&gt;0,SUM(Z83:AA83),-1))</f>
        <v>-1</v>
      </c>
      <c r="V83" s="395"/>
      <c r="W83" s="107"/>
      <c r="Z83" s="114">
        <f>IF(D83&gt;0,0,TRUNC(F83*T83+Y83*X83))</f>
        <v>0</v>
      </c>
      <c r="AA83" t="b">
        <f>IF($D83=1,SUM(Z$13:Z81)-SUM(AA$13:AA81),IF($D83=2,$AA$6,IF($D83=3,TRUNC($AA$6,-3))))</f>
        <v>0</v>
      </c>
      <c r="AB83">
        <f ca="1">IF(OR(AC$8=0,L82="l",D83&gt;0,U83=-1),0,IF(L82="b",-U83,TRUNC(F82*T83)))</f>
        <v>0</v>
      </c>
      <c r="AC83" t="b">
        <f>IF($D83=1,SUM(AB$13:AB81)-SUM(AC$13:AC81),IF($D83=2,$AA$5,IF($D83=3,TRUNC($AA$5,-3))))</f>
        <v>0</v>
      </c>
    </row>
    <row r="84" spans="3:29" ht="15" customHeight="1" x14ac:dyDescent="0.15">
      <c r="C84" s="182"/>
      <c r="D84" s="210"/>
      <c r="E84" s="184"/>
      <c r="F84" s="227"/>
      <c r="G84" s="297" t="str">
        <f ca="1">IF(OR(AC$8=0,L84="b"),"",IF(L84="l",0,"("&amp;FIXED(-F84,K85,0)&amp;M84))</f>
        <v/>
      </c>
      <c r="H84" s="183"/>
      <c r="I84" s="185"/>
      <c r="L84" t="str">
        <f t="shared" ca="1" si="8"/>
        <v>b</v>
      </c>
      <c r="M84" t="str">
        <f>")"&amp;REPT(" ",2-K85)&amp;IF(K85=0," ","")</f>
        <v xml:space="preserve">)   </v>
      </c>
      <c r="O84" s="194"/>
      <c r="P84" s="207">
        <f>D84</f>
        <v>0</v>
      </c>
      <c r="Q84" s="207">
        <f t="shared" si="10"/>
        <v>0</v>
      </c>
      <c r="R84" s="300" t="str">
        <f t="shared" ca="1" si="9"/>
        <v/>
      </c>
      <c r="S84" s="304"/>
      <c r="T84" s="149"/>
      <c r="U84" s="206">
        <f ca="1">IF(OR(AC$8=0,SUM(Z85:AC85)=0),1,IF(L84="l","",SUM(AB85:AC85)))</f>
        <v>1</v>
      </c>
      <c r="V84" s="394"/>
      <c r="W84" s="465"/>
      <c r="Z84"/>
    </row>
    <row r="85" spans="3:29" ht="15" customHeight="1" x14ac:dyDescent="0.15">
      <c r="C85" s="186"/>
      <c r="D85" s="205"/>
      <c r="E85" s="188"/>
      <c r="F85" s="226"/>
      <c r="G85" s="296" t="str">
        <f ca="1">IF(L85="b","",IF(L85="l",0,FIXED(F85,K85,0)&amp;M85))</f>
        <v/>
      </c>
      <c r="H85" s="187"/>
      <c r="I85" s="189"/>
      <c r="K85" s="215"/>
      <c r="L85" t="str">
        <f t="shared" ca="1" si="8"/>
        <v>b</v>
      </c>
      <c r="M85" t="str">
        <f>REPT(" ",3-K85)&amp;IF(K85=0," ","")</f>
        <v xml:space="preserve">    </v>
      </c>
      <c r="O85" s="194"/>
      <c r="P85" s="208">
        <f>IF(ISNUMBER(D85),LOOKUP(D85,$AB$5:$AC$7),D85)</f>
        <v>0</v>
      </c>
      <c r="Q85" s="208">
        <f t="shared" si="10"/>
        <v>0</v>
      </c>
      <c r="R85" s="301" t="str">
        <f t="shared" ca="1" si="9"/>
        <v/>
      </c>
      <c r="S85" s="305">
        <f>H85</f>
        <v>0</v>
      </c>
      <c r="T85" s="150"/>
      <c r="U85" s="216">
        <f ca="1">IF(L85="l","",IF(D85+F85&gt;0,SUM(Z85:AA85),-1))</f>
        <v>-1</v>
      </c>
      <c r="V85" s="395"/>
      <c r="W85" s="466"/>
      <c r="Z85" s="114">
        <f>IF(D85&gt;0,0,TRUNC(F85*T85+Y85*X85))</f>
        <v>0</v>
      </c>
      <c r="AA85" t="b">
        <f>IF($D85=1,SUM(Z$13:Z83)-SUM(AA$13:AA83),IF($D85=2,$AA$6,IF($D85=3,TRUNC($AA$6,-3))))</f>
        <v>0</v>
      </c>
      <c r="AB85">
        <f ca="1">IF(OR(AC$8=0,L84="l",D85&gt;0,U85=-1),0,IF(L84="b",-U85,TRUNC(F84*T85)))</f>
        <v>0</v>
      </c>
      <c r="AC85" t="b">
        <f>IF($D85=1,SUM(AB$13:AB83)-SUM(AC$13:AC83),IF($D85=2,$AA$5,IF($D85=3,TRUNC($AA$5,-3))))</f>
        <v>0</v>
      </c>
    </row>
    <row r="86" spans="3:29" ht="15" customHeight="1" x14ac:dyDescent="0.15">
      <c r="C86" s="182"/>
      <c r="D86" s="210"/>
      <c r="E86" s="184"/>
      <c r="F86" s="227"/>
      <c r="G86" s="297" t="str">
        <f ca="1">IF(OR(AC$8=0,L86="b"),"",IF(L86="l",0,"("&amp;FIXED(-F86,K87,0)&amp;M86))</f>
        <v/>
      </c>
      <c r="H86" s="183"/>
      <c r="I86" s="185"/>
      <c r="L86" t="str">
        <f t="shared" ca="1" si="8"/>
        <v>b</v>
      </c>
      <c r="M86" t="str">
        <f>")"&amp;REPT(" ",2-K87)&amp;IF(K87=0," ","")</f>
        <v xml:space="preserve">)   </v>
      </c>
      <c r="O86" s="194"/>
      <c r="P86" s="207">
        <f>D86</f>
        <v>0</v>
      </c>
      <c r="Q86" s="207">
        <f t="shared" si="10"/>
        <v>0</v>
      </c>
      <c r="R86" s="300" t="str">
        <f t="shared" ca="1" si="9"/>
        <v/>
      </c>
      <c r="S86" s="304"/>
      <c r="T86" s="149"/>
      <c r="U86" s="206">
        <f ca="1">IF(OR(AC$8=0,SUM(Z87:AC87)=0),1,IF(L86="l","",SUM(AB87:AC87)))</f>
        <v>1</v>
      </c>
      <c r="V86" s="394"/>
      <c r="W86" s="50"/>
      <c r="Z86"/>
    </row>
    <row r="87" spans="3:29" ht="15" customHeight="1" x14ac:dyDescent="0.15">
      <c r="C87" s="186"/>
      <c r="D87" s="205"/>
      <c r="E87" s="188"/>
      <c r="F87" s="226"/>
      <c r="G87" s="296" t="str">
        <f ca="1">IF(L87="b","",IF(L87="l",0,FIXED(F87,K87,0)&amp;M87))</f>
        <v/>
      </c>
      <c r="H87" s="187"/>
      <c r="I87" s="189"/>
      <c r="K87" s="215"/>
      <c r="L87" t="str">
        <f t="shared" ca="1" si="8"/>
        <v>b</v>
      </c>
      <c r="M87" t="str">
        <f>REPT(" ",3-K87)&amp;IF(K87=0," ","")</f>
        <v xml:space="preserve">    </v>
      </c>
      <c r="O87" s="194"/>
      <c r="P87" s="208">
        <f>IF(ISNUMBER(D87),LOOKUP(D87,$AB$5:$AC$7),D87)</f>
        <v>0</v>
      </c>
      <c r="Q87" s="208">
        <f t="shared" si="10"/>
        <v>0</v>
      </c>
      <c r="R87" s="301" t="str">
        <f t="shared" ca="1" si="9"/>
        <v/>
      </c>
      <c r="S87" s="305">
        <f>H87</f>
        <v>0</v>
      </c>
      <c r="T87" s="150"/>
      <c r="U87" s="216">
        <f ca="1">IF(L87="l","",IF(D87+F87&gt;0,SUM(Z87:AA87),-1))</f>
        <v>-1</v>
      </c>
      <c r="V87" s="395"/>
      <c r="W87" s="473"/>
      <c r="Z87" s="114">
        <f>IF(D87&gt;0,0,TRUNC(F87*T87+Y87*X87))</f>
        <v>0</v>
      </c>
      <c r="AA87" t="b">
        <f>IF($D87=1,SUM(Z$13:Z85)-SUM(AA$13:AA85),IF($D87=2,$AA$6,IF($D87=3,TRUNC($AA$6,-3))))</f>
        <v>0</v>
      </c>
      <c r="AB87">
        <f ca="1">IF(OR(AC$8=0,L86="l",D87&gt;0,U87=-1),0,IF(L86="b",-U87,TRUNC(F86*T87)))</f>
        <v>0</v>
      </c>
      <c r="AC87" t="b">
        <f>IF($D87=1,SUM(AB$13:AB85)-SUM(AC$13:AC85),IF($D87=2,$AA$5,IF($D87=3,TRUNC($AA$5,-3))))</f>
        <v>0</v>
      </c>
    </row>
    <row r="88" spans="3:29" ht="15" customHeight="1" x14ac:dyDescent="0.15">
      <c r="C88" s="182"/>
      <c r="D88" s="210"/>
      <c r="E88" s="184"/>
      <c r="F88" s="227"/>
      <c r="G88" s="297" t="str">
        <f ca="1">IF(OR(AC$8=0,L88="b"),"",IF(L88="l",0,"("&amp;FIXED(-F88,K89,0)&amp;M88))</f>
        <v/>
      </c>
      <c r="H88" s="183"/>
      <c r="I88" s="185"/>
      <c r="L88" t="str">
        <f t="shared" ca="1" si="8"/>
        <v>b</v>
      </c>
      <c r="M88" t="str">
        <f>")"&amp;REPT(" ",2-K89)&amp;IF(K89=0," ","")</f>
        <v xml:space="preserve">)   </v>
      </c>
      <c r="O88" s="194"/>
      <c r="P88" s="207">
        <f>D88</f>
        <v>0</v>
      </c>
      <c r="Q88" s="207">
        <f t="shared" si="10"/>
        <v>0</v>
      </c>
      <c r="R88" s="300" t="str">
        <f t="shared" ca="1" si="9"/>
        <v/>
      </c>
      <c r="S88" s="304"/>
      <c r="T88" s="149"/>
      <c r="U88" s="206">
        <f ca="1">IF(OR(AC$8=0,SUM(Z89:AC89)=0),1,IF(L88="l","",SUM(AB89:AC89)))</f>
        <v>1</v>
      </c>
      <c r="V88" s="394"/>
      <c r="W88" s="50"/>
      <c r="Z88"/>
    </row>
    <row r="89" spans="3:29" ht="15" customHeight="1" x14ac:dyDescent="0.15">
      <c r="C89" s="186"/>
      <c r="D89" s="205"/>
      <c r="E89" s="188"/>
      <c r="F89" s="226"/>
      <c r="G89" s="296" t="str">
        <f ca="1">IF(L89="b","",IF(L89="l",0,FIXED(F89,K89,0)&amp;M89))</f>
        <v/>
      </c>
      <c r="H89" s="187"/>
      <c r="I89" s="189"/>
      <c r="K89" s="215"/>
      <c r="L89" t="str">
        <f t="shared" ca="1" si="8"/>
        <v>b</v>
      </c>
      <c r="M89" t="str">
        <f>REPT(" ",3-K89)&amp;IF(K89=0," ","")</f>
        <v xml:space="preserve">    </v>
      </c>
      <c r="O89" s="194"/>
      <c r="P89" s="208">
        <f>IF(ISNUMBER(D89),LOOKUP(D89,$AB$5:$AC$7),D89)</f>
        <v>0</v>
      </c>
      <c r="Q89" s="208">
        <f t="shared" si="10"/>
        <v>0</v>
      </c>
      <c r="R89" s="301" t="str">
        <f t="shared" ca="1" si="9"/>
        <v/>
      </c>
      <c r="S89" s="305">
        <f>H89</f>
        <v>0</v>
      </c>
      <c r="T89" s="150"/>
      <c r="U89" s="216">
        <f ca="1">IF(L89="l","",IF(D89+F89&gt;0,SUM(Z89:AA89),-1))</f>
        <v>-1</v>
      </c>
      <c r="V89" s="395"/>
      <c r="W89" s="473"/>
      <c r="Z89" s="114">
        <f>IF(D89&gt;0,0,TRUNC(F89*T89+Y89*X89))</f>
        <v>0</v>
      </c>
      <c r="AA89" t="b">
        <f>IF($D89=1,SUM(Z$13:Z87)-SUM(AA$13:AA87),IF($D89=2,$AA$6,IF($D89=3,TRUNC($AA$6,-3))))</f>
        <v>0</v>
      </c>
      <c r="AB89">
        <f ca="1">IF(OR(AC$8=0,L88="l",D89&gt;0,U89=-1),0,IF(L88="b",-U89,TRUNC(F88*T89)))</f>
        <v>0</v>
      </c>
      <c r="AC89" t="b">
        <f>IF($D89=1,SUM(AB$13:AB87)-SUM(AC$13:AC87),IF($D89=2,$AA$5,IF($D89=3,TRUNC($AA$5,-3))))</f>
        <v>0</v>
      </c>
    </row>
    <row r="90" spans="3:29" ht="15" customHeight="1" x14ac:dyDescent="0.15">
      <c r="C90" s="182"/>
      <c r="D90" s="210"/>
      <c r="E90" s="184"/>
      <c r="F90" s="227"/>
      <c r="G90" s="297" t="str">
        <f ca="1">IF(OR(AC$8=0,L90="b"),"",IF(L90="l",0,"("&amp;FIXED(-F90,K91,0)&amp;M90))</f>
        <v/>
      </c>
      <c r="H90" s="183"/>
      <c r="I90" s="185"/>
      <c r="L90" t="str">
        <f t="shared" ca="1" si="8"/>
        <v>b</v>
      </c>
      <c r="M90" t="str">
        <f>")"&amp;REPT(" ",2-K91)&amp;IF(K91=0," ","")</f>
        <v xml:space="preserve">)   </v>
      </c>
      <c r="O90" s="194"/>
      <c r="P90" s="207">
        <f>D90</f>
        <v>0</v>
      </c>
      <c r="Q90" s="207">
        <f t="shared" si="10"/>
        <v>0</v>
      </c>
      <c r="R90" s="300" t="str">
        <f t="shared" ca="1" si="9"/>
        <v/>
      </c>
      <c r="S90" s="304"/>
      <c r="T90" s="149"/>
      <c r="U90" s="206">
        <f ca="1">IF(OR(AC$8=0,SUM(Z91:AC91)=0),1,IF(L90="l","",SUM(AB91:AC91)))</f>
        <v>1</v>
      </c>
      <c r="V90" s="394"/>
      <c r="W90" s="50"/>
      <c r="Z90"/>
    </row>
    <row r="91" spans="3:29" ht="15" customHeight="1" x14ac:dyDescent="0.15">
      <c r="C91" s="186"/>
      <c r="D91" s="205"/>
      <c r="E91" s="188"/>
      <c r="F91" s="226"/>
      <c r="G91" s="296" t="str">
        <f ca="1">IF(L91="b","",IF(L91="l",0,FIXED(F91,K91,0)&amp;M91))</f>
        <v/>
      </c>
      <c r="H91" s="187"/>
      <c r="I91" s="189"/>
      <c r="K91" s="215"/>
      <c r="L91" t="str">
        <f t="shared" ca="1" si="8"/>
        <v>b</v>
      </c>
      <c r="M91" t="str">
        <f>REPT(" ",3-K91)&amp;IF(K91=0," ","")</f>
        <v xml:space="preserve">    </v>
      </c>
      <c r="O91" s="194"/>
      <c r="P91" s="208">
        <f>IF(ISNUMBER(D91),LOOKUP(D91,$AB$5:$AC$7),D91)</f>
        <v>0</v>
      </c>
      <c r="Q91" s="208">
        <f t="shared" si="10"/>
        <v>0</v>
      </c>
      <c r="R91" s="301" t="str">
        <f t="shared" ca="1" si="9"/>
        <v/>
      </c>
      <c r="S91" s="305">
        <f>H91</f>
        <v>0</v>
      </c>
      <c r="T91" s="150"/>
      <c r="U91" s="216">
        <f ca="1">IF(L91="l","",IF(D91+F91&gt;0,SUM(Z91:AA91),-1))</f>
        <v>-1</v>
      </c>
      <c r="V91" s="395"/>
      <c r="W91" s="473"/>
      <c r="Z91" s="114">
        <f>IF(D91&gt;0,0,TRUNC(F91*T91+Y91*X91))</f>
        <v>0</v>
      </c>
      <c r="AA91" t="b">
        <f>IF($D91=1,SUM(Z$13:Z89)-SUM(AA$13:AA89),IF($D91=2,$AA$6,IF($D91=3,TRUNC($AA$6,-3))))</f>
        <v>0</v>
      </c>
      <c r="AB91">
        <f ca="1">IF(OR(AC$8=0,L90="l",D91&gt;0,U91=-1),0,IF(L90="b",-U91,TRUNC(F90*T91)))</f>
        <v>0</v>
      </c>
      <c r="AC91" t="b">
        <f>IF($D91=1,SUM(AB$13:AB89)-SUM(AC$13:AC89),IF($D91=2,$AA$5,IF($D91=3,TRUNC($AA$5,-3))))</f>
        <v>0</v>
      </c>
    </row>
    <row r="92" spans="3:29" ht="15" customHeight="1" x14ac:dyDescent="0.15">
      <c r="C92" s="182"/>
      <c r="D92" s="210"/>
      <c r="E92" s="184"/>
      <c r="F92" s="227"/>
      <c r="G92" s="297" t="str">
        <f ca="1">IF(OR(AC$8=0,L92="b"),"",IF(L92="l",0,"("&amp;FIXED(-F92,K93,0)&amp;M92))</f>
        <v/>
      </c>
      <c r="H92" s="183"/>
      <c r="I92" s="185"/>
      <c r="L92" t="str">
        <f t="shared" ca="1" si="8"/>
        <v>b</v>
      </c>
      <c r="M92" t="str">
        <f>")"&amp;REPT(" ",2-K93)&amp;IF(K93=0," ","")</f>
        <v xml:space="preserve">)   </v>
      </c>
      <c r="O92" s="194"/>
      <c r="P92" s="207">
        <f>D92</f>
        <v>0</v>
      </c>
      <c r="Q92" s="207">
        <f t="shared" si="10"/>
        <v>0</v>
      </c>
      <c r="R92" s="300" t="str">
        <f t="shared" ca="1" si="9"/>
        <v/>
      </c>
      <c r="S92" s="304"/>
      <c r="T92" s="149"/>
      <c r="U92" s="206">
        <f ca="1">IF(OR(AC$8=0,SUM(Z93:AC93)=0),1,IF(L92="l","",SUM(AB93:AC93)))</f>
        <v>1</v>
      </c>
      <c r="V92" s="394"/>
      <c r="W92" s="50"/>
      <c r="Z92"/>
    </row>
    <row r="93" spans="3:29" ht="15" customHeight="1" x14ac:dyDescent="0.15">
      <c r="C93" s="186"/>
      <c r="D93" s="205"/>
      <c r="E93" s="188"/>
      <c r="F93" s="226"/>
      <c r="G93" s="296" t="str">
        <f ca="1">IF(L93="b","",IF(L93="l",0,FIXED(F93,K93,0)&amp;M93))</f>
        <v/>
      </c>
      <c r="H93" s="187"/>
      <c r="I93" s="189"/>
      <c r="K93" s="215"/>
      <c r="L93" t="str">
        <f t="shared" ca="1" si="8"/>
        <v>b</v>
      </c>
      <c r="M93" t="str">
        <f>REPT(" ",3-K93)&amp;IF(K93=0," ","")</f>
        <v xml:space="preserve">    </v>
      </c>
      <c r="O93" s="194"/>
      <c r="P93" s="208">
        <f>IF(ISNUMBER(D93),LOOKUP(D93,$AB$5:$AC$7),D93)</f>
        <v>0</v>
      </c>
      <c r="Q93" s="208">
        <f t="shared" si="10"/>
        <v>0</v>
      </c>
      <c r="R93" s="301" t="str">
        <f t="shared" ca="1" si="9"/>
        <v/>
      </c>
      <c r="S93" s="305">
        <f>H93</f>
        <v>0</v>
      </c>
      <c r="T93" s="150"/>
      <c r="U93" s="216">
        <f ca="1">IF(L93="l","",IF(D93+F93&gt;0,SUM(Z93:AA93),-1))</f>
        <v>-1</v>
      </c>
      <c r="V93" s="395"/>
      <c r="W93" s="473"/>
      <c r="Z93" s="114">
        <f>IF(D93&gt;0,0,TRUNC(F93*T93+Y93*X93))</f>
        <v>0</v>
      </c>
      <c r="AA93" t="b">
        <f>IF($D93=1,SUM(Z$13:Z91)-SUM(AA$13:AA91),IF($D93=2,$AA$6,IF($D93=3,TRUNC($AA$6,-3))))</f>
        <v>0</v>
      </c>
      <c r="AB93">
        <f ca="1">IF(OR(AC$8=0,L92="l",D93&gt;0,U93=-1),0,IF(L92="b",-U93,TRUNC(F92*T93)))</f>
        <v>0</v>
      </c>
      <c r="AC93" t="b">
        <f>IF($D93=1,SUM(AB$13:AB91)-SUM(AC$13:AC91),IF($D93=2,$AA$5,IF($D93=3,TRUNC($AA$5,-3))))</f>
        <v>0</v>
      </c>
    </row>
    <row r="94" spans="3:29" ht="15" customHeight="1" x14ac:dyDescent="0.15">
      <c r="C94" s="182"/>
      <c r="D94" s="210"/>
      <c r="E94" s="184"/>
      <c r="F94" s="227"/>
      <c r="G94" s="297" t="str">
        <f ca="1">IF(OR(AC$8=0,L94="b"),"",IF(L94="l",0,"("&amp;FIXED(-F94,K95,0)&amp;M94))</f>
        <v/>
      </c>
      <c r="H94" s="183"/>
      <c r="I94" s="185"/>
      <c r="L94" t="str">
        <f t="shared" ca="1" si="8"/>
        <v>b</v>
      </c>
      <c r="M94" t="str">
        <f>")"&amp;REPT(" ",2-K95)&amp;IF(K95=0," ","")</f>
        <v xml:space="preserve">)   </v>
      </c>
      <c r="O94" s="194"/>
      <c r="P94" s="207">
        <f>D94</f>
        <v>0</v>
      </c>
      <c r="Q94" s="207">
        <f t="shared" si="10"/>
        <v>0</v>
      </c>
      <c r="R94" s="300" t="str">
        <f t="shared" ca="1" si="9"/>
        <v/>
      </c>
      <c r="S94" s="304"/>
      <c r="T94" s="149"/>
      <c r="U94" s="206">
        <f ca="1">IF(OR(AC$8=0,SUM(Z95:AC95)=0),1,IF(L94="l","",SUM(AB95:AC95)))</f>
        <v>1</v>
      </c>
      <c r="V94" s="394"/>
      <c r="W94" s="474"/>
      <c r="Z94"/>
    </row>
    <row r="95" spans="3:29" ht="15" customHeight="1" x14ac:dyDescent="0.15">
      <c r="C95" s="186"/>
      <c r="D95" s="205"/>
      <c r="E95" s="188"/>
      <c r="F95" s="226"/>
      <c r="G95" s="296" t="str">
        <f ca="1">IF(L95="b","",IF(L95="l",0,FIXED(F95,K95,0)&amp;M95))</f>
        <v/>
      </c>
      <c r="H95" s="187"/>
      <c r="I95" s="189"/>
      <c r="K95" s="215"/>
      <c r="L95" t="str">
        <f t="shared" ca="1" si="8"/>
        <v>b</v>
      </c>
      <c r="M95" t="str">
        <f>REPT(" ",3-K95)&amp;IF(K95=0," ","")</f>
        <v xml:space="preserve">    </v>
      </c>
      <c r="O95" s="194"/>
      <c r="P95" s="208">
        <f>IF(ISNUMBER(D95),LOOKUP(D95,$AB$5:$AC$7),D95)</f>
        <v>0</v>
      </c>
      <c r="Q95" s="208">
        <f t="shared" si="10"/>
        <v>0</v>
      </c>
      <c r="R95" s="301" t="str">
        <f t="shared" ca="1" si="9"/>
        <v/>
      </c>
      <c r="S95" s="305">
        <f>H95</f>
        <v>0</v>
      </c>
      <c r="T95" s="150"/>
      <c r="U95" s="216">
        <f ca="1">IF(L95="l","",IF(D95+F95&gt;0,SUM(Z95:AA95),-1))</f>
        <v>-1</v>
      </c>
      <c r="V95" s="395"/>
      <c r="W95" s="473"/>
      <c r="Z95" s="114">
        <f>IF(D95&gt;0,0,TRUNC(F95*T95+Y95*X95))</f>
        <v>0</v>
      </c>
      <c r="AA95" t="b">
        <f>IF($D95=1,SUM(Z$13:Z93)-SUM(AA$13:AA93),IF($D95=2,$AA$6,IF($D95=3,TRUNC($AA$6,-3))))</f>
        <v>0</v>
      </c>
      <c r="AB95">
        <f ca="1">IF(OR(AC$8=0,L94="l",D95&gt;0,U95=-1),0,IF(L94="b",-U95,TRUNC(F94*T95)))</f>
        <v>0</v>
      </c>
      <c r="AC95" t="b">
        <f>IF($D95=1,SUM(AB$13:AB93)-SUM(AC$13:AC93),IF($D95=2,$AA$5,IF($D95=3,TRUNC($AA$5,-3))))</f>
        <v>0</v>
      </c>
    </row>
    <row r="96" spans="3:29" ht="15" customHeight="1" x14ac:dyDescent="0.15">
      <c r="C96" s="182"/>
      <c r="D96" s="210"/>
      <c r="E96" s="184"/>
      <c r="F96" s="227"/>
      <c r="G96" s="297" t="str">
        <f ca="1">IF(OR(AC$8=0,L96="b"),"",IF(L96="l",0,"("&amp;FIXED(-F96,K97,0)&amp;M96))</f>
        <v/>
      </c>
      <c r="H96" s="183"/>
      <c r="I96" s="185"/>
      <c r="L96" t="str">
        <f t="shared" ca="1" si="8"/>
        <v>b</v>
      </c>
      <c r="M96" t="str">
        <f>")"&amp;REPT(" ",2-K97)&amp;IF(K97=0," ","")</f>
        <v xml:space="preserve">)   </v>
      </c>
      <c r="O96" s="194"/>
      <c r="P96" s="207">
        <f>D96</f>
        <v>0</v>
      </c>
      <c r="Q96" s="207">
        <f t="shared" si="10"/>
        <v>0</v>
      </c>
      <c r="R96" s="300" t="str">
        <f t="shared" ca="1" si="9"/>
        <v/>
      </c>
      <c r="S96" s="304"/>
      <c r="T96" s="149"/>
      <c r="U96" s="206">
        <f ca="1">IF(OR(AC$8=0,SUM(Z97:AC97)=0),1,IF(L96="l","",SUM(AB97:AC97)))</f>
        <v>1</v>
      </c>
      <c r="V96" s="394"/>
      <c r="W96" s="50"/>
      <c r="Z96"/>
    </row>
    <row r="97" spans="3:29" ht="15" customHeight="1" x14ac:dyDescent="0.15">
      <c r="C97" s="186"/>
      <c r="D97" s="205"/>
      <c r="E97" s="188"/>
      <c r="F97" s="226"/>
      <c r="G97" s="296" t="str">
        <f ca="1">IF(L97="b","",IF(L97="l",0,FIXED(F97,K97,0)&amp;M97))</f>
        <v/>
      </c>
      <c r="H97" s="187"/>
      <c r="I97" s="189"/>
      <c r="K97" s="215"/>
      <c r="L97" t="str">
        <f t="shared" ca="1" si="8"/>
        <v>b</v>
      </c>
      <c r="M97" t="str">
        <f>REPT(" ",3-K97)&amp;IF(K97=0," ","")</f>
        <v xml:space="preserve">    </v>
      </c>
      <c r="O97" s="194"/>
      <c r="P97" s="208">
        <f>IF(ISNUMBER(D97),LOOKUP(D97,$AB$5:$AC$7),D97)</f>
        <v>0</v>
      </c>
      <c r="Q97" s="208">
        <f t="shared" si="10"/>
        <v>0</v>
      </c>
      <c r="R97" s="301" t="str">
        <f t="shared" ca="1" si="9"/>
        <v/>
      </c>
      <c r="S97" s="305">
        <f>H97</f>
        <v>0</v>
      </c>
      <c r="T97" s="150"/>
      <c r="U97" s="216">
        <f ca="1">IF(L97="l","",IF(D97+F97&gt;0,SUM(Z97:AA97),-1))</f>
        <v>-1</v>
      </c>
      <c r="V97" s="395"/>
      <c r="W97" s="107"/>
      <c r="Z97" s="114">
        <f>IF(D97&gt;0,0,TRUNC(F97*T97+Y97*X97))</f>
        <v>0</v>
      </c>
      <c r="AA97" t="b">
        <f>IF($D97=1,SUM(Z$13:Z95)-SUM(AA$13:AA95),IF($D97=2,$AA$6,IF($D97=3,TRUNC($AA$6,-3))))</f>
        <v>0</v>
      </c>
      <c r="AB97">
        <f ca="1">IF(OR(AC$8=0,L96="l",D97&gt;0,U97=-1),0,IF(L96="b",-U97,TRUNC(F96*T97)))</f>
        <v>0</v>
      </c>
      <c r="AC97" t="b">
        <f>IF($D97=1,SUM(AB$13:AB95)-SUM(AC$13:AC95),IF($D97=2,$AA$5,IF($D97=3,TRUNC($AA$5,-3))))</f>
        <v>0</v>
      </c>
    </row>
    <row r="98" spans="3:29" ht="15" customHeight="1" x14ac:dyDescent="0.15">
      <c r="C98" s="182"/>
      <c r="D98" s="210"/>
      <c r="E98" s="184"/>
      <c r="F98" s="227"/>
      <c r="G98" s="297" t="str">
        <f ca="1">IF(OR(AC$8=0,L98="b"),"",IF(L98="l",0,"("&amp;FIXED(-F98,K99,0)&amp;M98))</f>
        <v/>
      </c>
      <c r="H98" s="183"/>
      <c r="I98" s="185"/>
      <c r="L98" t="str">
        <f t="shared" ca="1" si="8"/>
        <v>b</v>
      </c>
      <c r="M98" t="str">
        <f>")"&amp;REPT(" ",2-K99)&amp;IF(K99=0," ","")</f>
        <v xml:space="preserve">)   </v>
      </c>
      <c r="O98" s="194"/>
      <c r="P98" s="207">
        <f>D98</f>
        <v>0</v>
      </c>
      <c r="Q98" s="207">
        <f t="shared" si="10"/>
        <v>0</v>
      </c>
      <c r="R98" s="300" t="str">
        <f t="shared" ca="1" si="9"/>
        <v/>
      </c>
      <c r="S98" s="304"/>
      <c r="T98" s="149"/>
      <c r="U98" s="206">
        <f ca="1">IF(OR(AC$8=0,SUM(Z99:AC99)=0),1,IF(L98="l","",SUM(AB99:AC99)))</f>
        <v>1</v>
      </c>
      <c r="V98" s="394"/>
      <c r="W98" s="50"/>
      <c r="Z98"/>
    </row>
    <row r="99" spans="3:29" ht="15" customHeight="1" x14ac:dyDescent="0.15">
      <c r="C99" s="186"/>
      <c r="D99" s="205"/>
      <c r="E99" s="188"/>
      <c r="F99" s="226"/>
      <c r="G99" s="296" t="str">
        <f ca="1">IF(L99="b","",IF(L99="l",0,FIXED(F99,K99,0)&amp;M99))</f>
        <v/>
      </c>
      <c r="H99" s="187"/>
      <c r="I99" s="189"/>
      <c r="K99" s="215"/>
      <c r="L99" t="str">
        <f t="shared" ca="1" si="8"/>
        <v>b</v>
      </c>
      <c r="M99" t="str">
        <f>REPT(" ",3-K99)&amp;IF(K99=0," ","")</f>
        <v xml:space="preserve">    </v>
      </c>
      <c r="O99" s="194"/>
      <c r="P99" s="208">
        <f>IF(ISNUMBER(D99),LOOKUP(D99,$AB$5:$AC$7),D99)</f>
        <v>0</v>
      </c>
      <c r="Q99" s="208">
        <f t="shared" si="10"/>
        <v>0</v>
      </c>
      <c r="R99" s="301" t="str">
        <f t="shared" ca="1" si="9"/>
        <v/>
      </c>
      <c r="S99" s="305">
        <f>H99</f>
        <v>0</v>
      </c>
      <c r="T99" s="150"/>
      <c r="U99" s="216">
        <f ca="1">IF(L99="l","",IF(D99+F99&gt;0,SUM(Z99:AA99),-1))</f>
        <v>-1</v>
      </c>
      <c r="V99" s="395"/>
      <c r="W99" s="107"/>
      <c r="Z99" s="114">
        <f>IF(D99&gt;0,0,TRUNC(F99*T99+Y99*X99))</f>
        <v>0</v>
      </c>
      <c r="AA99" t="b">
        <f>IF($D99=1,SUM(Z$13:Z97)-SUM(AA$13:AA97),IF($D99=2,$AA$6,IF($D99=3,TRUNC($AA$6,-3))))</f>
        <v>0</v>
      </c>
      <c r="AB99">
        <f ca="1">IF(OR(AC$8=0,L98="l",D99&gt;0,U99=-1),0,IF(L98="b",-U99,TRUNC(F98*T99)))</f>
        <v>0</v>
      </c>
      <c r="AC99" t="b">
        <f>IF($D99=1,SUM(AB$13:AB97)-SUM(AC$13:AC97),IF($D99=2,$AA$5,IF($D99=3,TRUNC($AA$5,-3))))</f>
        <v>0</v>
      </c>
    </row>
    <row r="100" spans="3:29" ht="15" customHeight="1" x14ac:dyDescent="0.15">
      <c r="C100" s="182"/>
      <c r="D100" s="210"/>
      <c r="E100" s="184"/>
      <c r="F100" s="227"/>
      <c r="G100" s="297" t="str">
        <f ca="1">IF(OR(AC$8=0,L100="b"),"",IF(L100="l",0,"("&amp;FIXED(-F100,K101,0)&amp;M100))</f>
        <v/>
      </c>
      <c r="H100" s="183"/>
      <c r="I100" s="185"/>
      <c r="L100" t="str">
        <f t="shared" ca="1" si="8"/>
        <v>b</v>
      </c>
      <c r="M100" t="str">
        <f>")"&amp;REPT(" ",2-K101)&amp;IF(K101=0," ","")</f>
        <v xml:space="preserve">)   </v>
      </c>
      <c r="O100" s="194"/>
      <c r="P100" s="207">
        <f>D100</f>
        <v>0</v>
      </c>
      <c r="Q100" s="207">
        <f t="shared" si="10"/>
        <v>0</v>
      </c>
      <c r="R100" s="300" t="str">
        <f t="shared" ca="1" si="9"/>
        <v/>
      </c>
      <c r="S100" s="304"/>
      <c r="T100" s="149"/>
      <c r="U100" s="206">
        <f ca="1">IF(OR(AC$8=0,SUM(Z101:AC101)=0),1,IF(L100="l","",SUM(AB101:AC101)))</f>
        <v>1</v>
      </c>
      <c r="V100" s="394"/>
      <c r="W100" s="50"/>
      <c r="Z100"/>
    </row>
    <row r="101" spans="3:29" ht="15" customHeight="1" x14ac:dyDescent="0.15">
      <c r="C101" s="186"/>
      <c r="D101" s="205"/>
      <c r="E101" s="188"/>
      <c r="F101" s="226"/>
      <c r="G101" s="296" t="str">
        <f ca="1">IF(L101="b","",IF(L101="l",0,FIXED(F101,K101,0)&amp;M101))</f>
        <v/>
      </c>
      <c r="H101" s="187"/>
      <c r="I101" s="189"/>
      <c r="K101" s="215"/>
      <c r="L101" t="str">
        <f t="shared" ca="1" si="8"/>
        <v>b</v>
      </c>
      <c r="M101" t="str">
        <f>REPT(" ",3-K101)&amp;IF(K101=0," ","")</f>
        <v xml:space="preserve">    </v>
      </c>
      <c r="O101" s="194"/>
      <c r="P101" s="208">
        <f>IF(ISNUMBER(D101),LOOKUP(D101,$AB$5:$AC$7),D101)</f>
        <v>0</v>
      </c>
      <c r="Q101" s="208">
        <f t="shared" si="10"/>
        <v>0</v>
      </c>
      <c r="R101" s="301" t="str">
        <f t="shared" ca="1" si="9"/>
        <v/>
      </c>
      <c r="S101" s="305">
        <f>H101</f>
        <v>0</v>
      </c>
      <c r="T101" s="150"/>
      <c r="U101" s="216">
        <f ca="1">IF(L101="l","",IF(D101+F101&gt;0,SUM(Z101:AA101),-1))</f>
        <v>-1</v>
      </c>
      <c r="V101" s="395"/>
      <c r="W101" s="107"/>
      <c r="Z101" s="114">
        <f>IF(D101&gt;0,0,TRUNC(F101*T101+Y101*X101))</f>
        <v>0</v>
      </c>
      <c r="AA101" t="b">
        <f>IF($D101=1,SUM(Z$13:Z99)-SUM(AA$13:AA99),IF($D101=2,$AA$6,IF($D101=3,TRUNC($AA$6,-3))))</f>
        <v>0</v>
      </c>
      <c r="AB101">
        <f ca="1">IF(OR(AC$8=0,L100="l",D101&gt;0,U101=-1),0,IF(L100="b",-U101,TRUNC(F100*T101)))</f>
        <v>0</v>
      </c>
      <c r="AC101" t="b">
        <f>IF($D101=1,SUM(AB$13:AB99)-SUM(AC$13:AC99),IF($D101=2,$AA$5,IF($D101=3,TRUNC($AA$5,-3))))</f>
        <v>0</v>
      </c>
    </row>
    <row r="102" spans="3:29" ht="15" customHeight="1" x14ac:dyDescent="0.15">
      <c r="C102" s="182"/>
      <c r="D102" s="210"/>
      <c r="E102" s="184"/>
      <c r="F102" s="227"/>
      <c r="G102" s="297" t="str">
        <f ca="1">IF(OR(AC$8=0,L102="b"),"",IF(L102="l",0,"("&amp;FIXED(-F102,K103,0)&amp;M102))</f>
        <v/>
      </c>
      <c r="H102" s="183"/>
      <c r="I102" s="185"/>
      <c r="L102" t="str">
        <f t="shared" ca="1" si="8"/>
        <v>b</v>
      </c>
      <c r="M102" t="str">
        <f>")"&amp;REPT(" ",2-K103)&amp;IF(K103=0," ","")</f>
        <v xml:space="preserve">)   </v>
      </c>
      <c r="O102" s="194"/>
      <c r="P102" s="207">
        <f>D102</f>
        <v>0</v>
      </c>
      <c r="Q102" s="207">
        <f t="shared" si="10"/>
        <v>0</v>
      </c>
      <c r="R102" s="300" t="str">
        <f t="shared" ca="1" si="9"/>
        <v/>
      </c>
      <c r="S102" s="304"/>
      <c r="T102" s="149"/>
      <c r="U102" s="206">
        <f ca="1">IF(OR(AC$8=0,SUM(Z103:AC103)=0),1,IF(L102="l","",SUM(AB103:AC103)))</f>
        <v>1</v>
      </c>
      <c r="V102" s="394"/>
      <c r="W102" s="50"/>
      <c r="Z102"/>
    </row>
    <row r="103" spans="3:29" ht="15" customHeight="1" x14ac:dyDescent="0.15">
      <c r="C103" s="186"/>
      <c r="D103" s="205"/>
      <c r="E103" s="188"/>
      <c r="F103" s="226"/>
      <c r="G103" s="296" t="str">
        <f ca="1">IF(L103="b","",IF(L103="l",0,FIXED(F103,K103,0)&amp;M103))</f>
        <v/>
      </c>
      <c r="H103" s="187"/>
      <c r="I103" s="189"/>
      <c r="K103" s="215"/>
      <c r="L103" t="str">
        <f t="shared" ca="1" si="8"/>
        <v>b</v>
      </c>
      <c r="M103" t="str">
        <f>REPT(" ",3-K103)&amp;IF(K103=0," ","")</f>
        <v xml:space="preserve">    </v>
      </c>
      <c r="O103" s="194"/>
      <c r="P103" s="208">
        <f>IF(ISNUMBER(D103),LOOKUP(D103,$AB$5:$AC$7),D103)</f>
        <v>0</v>
      </c>
      <c r="Q103" s="208">
        <f t="shared" si="10"/>
        <v>0</v>
      </c>
      <c r="R103" s="301" t="str">
        <f t="shared" ca="1" si="9"/>
        <v/>
      </c>
      <c r="S103" s="305">
        <f>H103</f>
        <v>0</v>
      </c>
      <c r="T103" s="150"/>
      <c r="U103" s="216">
        <f ca="1">IF(L103="l","",IF(D103+F103&gt;0,SUM(Z103:AA103),-1))</f>
        <v>-1</v>
      </c>
      <c r="V103" s="395"/>
      <c r="W103" s="107"/>
      <c r="Z103" s="114">
        <f>IF(D103&gt;0,0,TRUNC(F103*T103+Y103*X103))</f>
        <v>0</v>
      </c>
      <c r="AA103" t="b">
        <f>IF($D103=1,SUM(Z$13:Z101)-SUM(AA$13:AA101),IF($D103=2,$AA$6,IF($D103=3,TRUNC($AA$6,-3))))</f>
        <v>0</v>
      </c>
      <c r="AB103">
        <f ca="1">IF(OR(AC$8=0,L102="l",D103&gt;0,U103=-1),0,IF(L102="b",-U103,TRUNC(F102*T103)))</f>
        <v>0</v>
      </c>
      <c r="AC103" t="b">
        <f>IF($D103=1,SUM(AB$13:AB101)-SUM(AC$13:AC101),IF($D103=2,$AA$5,IF($D103=3,TRUNC($AA$5,-3))))</f>
        <v>0</v>
      </c>
    </row>
    <row r="104" spans="3:29" ht="15" customHeight="1" x14ac:dyDescent="0.15">
      <c r="C104" s="182"/>
      <c r="D104" s="210"/>
      <c r="E104" s="184"/>
      <c r="F104" s="227"/>
      <c r="G104" s="297" t="str">
        <f ca="1">IF(OR(AC$8=0,L104="b"),"",IF(L104="l",0,"("&amp;FIXED(-F104,K105,0)&amp;M104))</f>
        <v/>
      </c>
      <c r="H104" s="183"/>
      <c r="I104" s="185"/>
      <c r="L104" t="str">
        <f t="shared" ca="1" si="8"/>
        <v>b</v>
      </c>
      <c r="M104" t="str">
        <f>")"&amp;REPT(" ",2-K105)&amp;IF(K105=0," ","")</f>
        <v xml:space="preserve">)   </v>
      </c>
      <c r="O104" s="194"/>
      <c r="P104" s="207">
        <f>D104</f>
        <v>0</v>
      </c>
      <c r="Q104" s="207">
        <f t="shared" si="10"/>
        <v>0</v>
      </c>
      <c r="R104" s="300" t="str">
        <f t="shared" ca="1" si="9"/>
        <v/>
      </c>
      <c r="S104" s="304"/>
      <c r="T104" s="149"/>
      <c r="U104" s="206">
        <f ca="1">IF(OR(AC$8=0,SUM(Z105:AC105)=0),1,IF(L104="l","",SUM(AB105:AC105)))</f>
        <v>1</v>
      </c>
      <c r="V104" s="394"/>
      <c r="W104" s="50"/>
      <c r="Z104"/>
    </row>
    <row r="105" spans="3:29" ht="15" customHeight="1" x14ac:dyDescent="0.15">
      <c r="C105" s="186"/>
      <c r="D105" s="205"/>
      <c r="E105" s="188"/>
      <c r="F105" s="226"/>
      <c r="G105" s="296" t="str">
        <f ca="1">IF(L105="b","",IF(L105="l",0,FIXED(F105,K105,0)&amp;M105))</f>
        <v/>
      </c>
      <c r="H105" s="187"/>
      <c r="I105" s="189"/>
      <c r="K105" s="215"/>
      <c r="L105" t="str">
        <f t="shared" ca="1" si="8"/>
        <v>b</v>
      </c>
      <c r="M105" t="str">
        <f>REPT(" ",3-K105)&amp;IF(K105=0," ","")</f>
        <v xml:space="preserve">    </v>
      </c>
      <c r="O105" s="194"/>
      <c r="P105" s="208">
        <f>IF(ISNUMBER(D105),LOOKUP(D105,$AB$5:$AC$7),D105)</f>
        <v>0</v>
      </c>
      <c r="Q105" s="208">
        <f t="shared" si="10"/>
        <v>0</v>
      </c>
      <c r="R105" s="301" t="str">
        <f t="shared" ca="1" si="9"/>
        <v/>
      </c>
      <c r="S105" s="305">
        <f>H105</f>
        <v>0</v>
      </c>
      <c r="T105" s="150"/>
      <c r="U105" s="216">
        <f ca="1">IF(L105="l","",IF(D105+F105&gt;0,SUM(Z105:AA105),-1))</f>
        <v>-1</v>
      </c>
      <c r="V105" s="395"/>
      <c r="W105" s="107"/>
      <c r="Z105" s="114">
        <f>IF(D105&gt;0,0,TRUNC(F105*T105+Y105*X105))</f>
        <v>0</v>
      </c>
      <c r="AA105" t="b">
        <f>IF($D105=1,SUM(Z$13:Z103)-SUM(AA$13:AA103),IF($D105=2,$AA$6,IF($D105=3,TRUNC($AA$6,-3))))</f>
        <v>0</v>
      </c>
      <c r="AB105">
        <f ca="1">IF(OR(AC$8=0,L104="l",D105&gt;0,U105=-1),0,IF(L104="b",-U105,TRUNC(F104*T105)))</f>
        <v>0</v>
      </c>
      <c r="AC105" t="b">
        <f>IF($D105=1,SUM(AB$13:AB103)-SUM(AC$13:AC103),IF($D105=2,$AA$5,IF($D105=3,TRUNC($AA$5,-3))))</f>
        <v>0</v>
      </c>
    </row>
    <row r="106" spans="3:29" ht="15" customHeight="1" x14ac:dyDescent="0.15">
      <c r="C106" s="182"/>
      <c r="D106" s="210"/>
      <c r="E106" s="184"/>
      <c r="F106" s="227"/>
      <c r="G106" s="297" t="str">
        <f ca="1">IF(OR(AC$8=0,L106="b"),"",IF(L106="l",0,"("&amp;FIXED(-F106,K107,0)&amp;M106))</f>
        <v/>
      </c>
      <c r="H106" s="183"/>
      <c r="I106" s="185"/>
      <c r="L106" t="str">
        <f t="shared" ca="1" si="8"/>
        <v>b</v>
      </c>
      <c r="M106" t="str">
        <f>")"&amp;REPT(" ",2-K107)&amp;IF(K107=0," ","")</f>
        <v xml:space="preserve">)   </v>
      </c>
      <c r="O106" s="194"/>
      <c r="P106" s="207">
        <f>D106</f>
        <v>0</v>
      </c>
      <c r="Q106" s="207">
        <f t="shared" si="10"/>
        <v>0</v>
      </c>
      <c r="R106" s="300" t="str">
        <f t="shared" ca="1" si="9"/>
        <v/>
      </c>
      <c r="S106" s="304"/>
      <c r="T106" s="149"/>
      <c r="U106" s="206">
        <f ca="1">IF(OR(AC$8=0,SUM(Z107:AC107)=0),1,IF(L106="l","",SUM(AB107:AC107)))</f>
        <v>1</v>
      </c>
      <c r="V106" s="394"/>
      <c r="W106" s="50"/>
      <c r="Z106"/>
    </row>
    <row r="107" spans="3:29" ht="15" customHeight="1" x14ac:dyDescent="0.15">
      <c r="C107" s="186"/>
      <c r="D107" s="205"/>
      <c r="E107" s="188"/>
      <c r="F107" s="226"/>
      <c r="G107" s="296" t="str">
        <f ca="1">IF(L107="b","",IF(L107="l",0,FIXED(F107,K107,0)&amp;M107))</f>
        <v/>
      </c>
      <c r="H107" s="187"/>
      <c r="I107" s="189"/>
      <c r="K107" s="215"/>
      <c r="L107" t="str">
        <f t="shared" ca="1" si="8"/>
        <v>b</v>
      </c>
      <c r="M107" t="str">
        <f>REPT(" ",3-K107)&amp;IF(K107=0," ","")</f>
        <v xml:space="preserve">    </v>
      </c>
      <c r="O107" s="194"/>
      <c r="P107" s="208">
        <f>IF(ISNUMBER(D107),LOOKUP(D107,$AB$5:$AC$7),D107)</f>
        <v>0</v>
      </c>
      <c r="Q107" s="208">
        <f t="shared" si="10"/>
        <v>0</v>
      </c>
      <c r="R107" s="301" t="str">
        <f t="shared" ca="1" si="9"/>
        <v/>
      </c>
      <c r="S107" s="305">
        <f>H107</f>
        <v>0</v>
      </c>
      <c r="T107" s="150"/>
      <c r="U107" s="216">
        <f ca="1">IF(L107="l","",IF(D107+F107&gt;0,SUM(Z107:AA107),-1))</f>
        <v>-1</v>
      </c>
      <c r="V107" s="395"/>
      <c r="W107" s="107"/>
      <c r="Z107" s="114">
        <f>IF(D107&gt;0,0,TRUNC(F107*T107+Y107*X107))</f>
        <v>0</v>
      </c>
      <c r="AA107" t="b">
        <f>IF($D107=1,SUM(Z$13:Z105)-SUM(AA$13:AA105),IF($D107=2,$AA$6,IF($D107=3,TRUNC($AA$6,-3))))</f>
        <v>0</v>
      </c>
      <c r="AB107">
        <f ca="1">IF(OR(AC$8=0,L106="l",D107&gt;0,U107=-1),0,IF(L106="b",-U107,TRUNC(F106*T107)))</f>
        <v>0</v>
      </c>
      <c r="AC107" t="b">
        <f>IF($D107=1,SUM(AB$13:AB105)-SUM(AC$13:AC105),IF($D107=2,$AA$5,IF($D107=3,TRUNC($AA$5,-3))))</f>
        <v>0</v>
      </c>
    </row>
    <row r="108" spans="3:29" ht="15" customHeight="1" x14ac:dyDescent="0.15">
      <c r="C108" s="182"/>
      <c r="D108" s="210"/>
      <c r="E108" s="184"/>
      <c r="F108" s="227"/>
      <c r="G108" s="297" t="str">
        <f ca="1">IF(OR(AC$8=0,L108="b"),"",IF(L108="l",0,"("&amp;FIXED(-F108,K109,0)&amp;M108))</f>
        <v/>
      </c>
      <c r="H108" s="183"/>
      <c r="I108" s="185"/>
      <c r="L108" t="str">
        <f t="shared" ca="1" si="8"/>
        <v>b</v>
      </c>
      <c r="M108" t="str">
        <f>")"&amp;REPT(" ",2-K109)&amp;IF(K109=0," ","")</f>
        <v xml:space="preserve">)   </v>
      </c>
      <c r="O108" s="194"/>
      <c r="P108" s="207">
        <f>D108</f>
        <v>0</v>
      </c>
      <c r="Q108" s="207">
        <f t="shared" si="10"/>
        <v>0</v>
      </c>
      <c r="R108" s="300" t="str">
        <f t="shared" ca="1" si="9"/>
        <v/>
      </c>
      <c r="S108" s="304"/>
      <c r="T108" s="149"/>
      <c r="U108" s="206">
        <f ca="1">IF(OR(AC$8=0,SUM(Z109:AC109)=0),1,IF(L108="l","",SUM(AB109:AC109)))</f>
        <v>1</v>
      </c>
      <c r="V108" s="394"/>
      <c r="W108" s="50"/>
      <c r="Z108"/>
    </row>
    <row r="109" spans="3:29" ht="15" customHeight="1" x14ac:dyDescent="0.15">
      <c r="C109" s="186"/>
      <c r="D109" s="205"/>
      <c r="E109" s="188"/>
      <c r="F109" s="226"/>
      <c r="G109" s="296" t="str">
        <f ca="1">IF(L109="b","",IF(L109="l",0,FIXED(F109,K109,0)&amp;M109))</f>
        <v/>
      </c>
      <c r="H109" s="187"/>
      <c r="I109" s="189"/>
      <c r="K109" s="215"/>
      <c r="L109" t="str">
        <f t="shared" ca="1" si="8"/>
        <v>b</v>
      </c>
      <c r="M109" t="str">
        <f>REPT(" ",3-K109)&amp;IF(K109=0," ","")</f>
        <v xml:space="preserve">    </v>
      </c>
      <c r="O109" s="194"/>
      <c r="P109" s="208">
        <f>IF(ISNUMBER(D109),LOOKUP(D109,$AB$5:$AC$7),D109)</f>
        <v>0</v>
      </c>
      <c r="Q109" s="208">
        <f t="shared" si="10"/>
        <v>0</v>
      </c>
      <c r="R109" s="301" t="str">
        <f t="shared" ca="1" si="9"/>
        <v/>
      </c>
      <c r="S109" s="305">
        <f>H109</f>
        <v>0</v>
      </c>
      <c r="T109" s="150"/>
      <c r="U109" s="216">
        <f ca="1">IF(L109="l","",IF(D109+F109&gt;0,SUM(Z109:AA109),-1))</f>
        <v>-1</v>
      </c>
      <c r="V109" s="395"/>
      <c r="W109" s="107"/>
      <c r="Z109" s="114">
        <f>IF(D109&gt;0,0,TRUNC(F109*T109+Y109*X109))</f>
        <v>0</v>
      </c>
      <c r="AA109" t="b">
        <f>IF($D109=1,SUM(Z$13:Z107)-SUM(AA$13:AA107),IF($D109=2,$AA$6,IF($D109=3,TRUNC($AA$6,-3))))</f>
        <v>0</v>
      </c>
      <c r="AB109">
        <f ca="1">IF(OR(AC$8=0,L108="l",D109&gt;0,U109=-1),0,IF(L108="b",-U109,TRUNC(F108*T109)))</f>
        <v>0</v>
      </c>
      <c r="AC109" t="b">
        <f>IF($D109=1,SUM(AB$13:AB107)-SUM(AC$13:AC107),IF($D109=2,$AA$5,IF($D109=3,TRUNC($AA$5,-3))))</f>
        <v>0</v>
      </c>
    </row>
    <row r="110" spans="3:29" ht="15" customHeight="1" x14ac:dyDescent="0.15">
      <c r="C110" s="182"/>
      <c r="D110" s="210"/>
      <c r="E110" s="184"/>
      <c r="F110" s="227"/>
      <c r="G110" s="297" t="str">
        <f ca="1">IF(OR(AC$8=0,L110="b"),"",IF(L110="l",0,"("&amp;FIXED(-F110,K111,0)&amp;M110))</f>
        <v/>
      </c>
      <c r="H110" s="183"/>
      <c r="I110" s="185"/>
      <c r="L110" t="str">
        <f t="shared" ref="L110:L143" ca="1" si="11">CELL("type",F110)</f>
        <v>b</v>
      </c>
      <c r="M110" t="str">
        <f>")"&amp;REPT(" ",2-K111)&amp;IF(K111=0," ","")</f>
        <v xml:space="preserve">)   </v>
      </c>
      <c r="O110" s="194"/>
      <c r="P110" s="207">
        <f>D110</f>
        <v>0</v>
      </c>
      <c r="Q110" s="207">
        <f t="shared" si="10"/>
        <v>0</v>
      </c>
      <c r="R110" s="300" t="str">
        <f t="shared" ref="R110:R143" ca="1" si="12">G110</f>
        <v/>
      </c>
      <c r="S110" s="304"/>
      <c r="T110" s="149"/>
      <c r="U110" s="206">
        <f ca="1">IF(OR(AC$8=0,SUM(Z111:AC111)=0),1,IF(L110="l","",SUM(AB111:AC111)))</f>
        <v>1</v>
      </c>
      <c r="V110" s="394"/>
      <c r="W110" s="50"/>
      <c r="Z110"/>
    </row>
    <row r="111" spans="3:29" ht="15" customHeight="1" x14ac:dyDescent="0.15">
      <c r="C111" s="186"/>
      <c r="D111" s="205"/>
      <c r="E111" s="188"/>
      <c r="F111" s="226"/>
      <c r="G111" s="296" t="str">
        <f ca="1">IF(L111="b","",IF(L111="l",0,FIXED(F111,K111,0)&amp;M111))</f>
        <v/>
      </c>
      <c r="H111" s="187"/>
      <c r="I111" s="189"/>
      <c r="K111" s="215"/>
      <c r="L111" t="str">
        <f t="shared" ca="1" si="11"/>
        <v>b</v>
      </c>
      <c r="M111" t="str">
        <f>REPT(" ",3-K111)&amp;IF(K111=0," ","")</f>
        <v xml:space="preserve">    </v>
      </c>
      <c r="O111" s="194"/>
      <c r="P111" s="208">
        <f>IF(ISNUMBER(D111),LOOKUP(D111,$AB$5:$AC$7),D111)</f>
        <v>0</v>
      </c>
      <c r="Q111" s="208">
        <f t="shared" ref="Q111:Q143" si="13">E111</f>
        <v>0</v>
      </c>
      <c r="R111" s="301" t="str">
        <f t="shared" ca="1" si="12"/>
        <v/>
      </c>
      <c r="S111" s="305">
        <f>H111</f>
        <v>0</v>
      </c>
      <c r="T111" s="150"/>
      <c r="U111" s="216">
        <f ca="1">IF(L111="l","",IF(D111+F111&gt;0,SUM(Z111:AA111),-1))</f>
        <v>-1</v>
      </c>
      <c r="V111" s="395"/>
      <c r="W111" s="107"/>
      <c r="Z111" s="114">
        <f>IF(D111&gt;0,0,TRUNC(F111*T111+Y111*X111))</f>
        <v>0</v>
      </c>
      <c r="AA111" t="b">
        <f>IF($D111=1,SUM(Z$13:Z109)-SUM(AA$13:AA109),IF($D111=2,$AA$6,IF($D111=3,TRUNC($AA$6,-3))))</f>
        <v>0</v>
      </c>
      <c r="AB111">
        <f ca="1">IF(OR(AC$8=0,L110="l",D111&gt;0,U111=-1),0,IF(L110="b",-U111,TRUNC(F110*T111)))</f>
        <v>0</v>
      </c>
      <c r="AC111" t="b">
        <f>IF($D111=1,SUM(AB$13:AB109)-SUM(AC$13:AC109),IF($D111=2,$AA$5,IF($D111=3,TRUNC($AA$5,-3))))</f>
        <v>0</v>
      </c>
    </row>
    <row r="112" spans="3:29" ht="15" customHeight="1" x14ac:dyDescent="0.15">
      <c r="C112" s="182"/>
      <c r="D112" s="210"/>
      <c r="E112" s="184"/>
      <c r="F112" s="227"/>
      <c r="G112" s="297" t="str">
        <f ca="1">IF(OR(AC$8=0,L112="b"),"",IF(L112="l",0,"("&amp;FIXED(-F112,K113,0)&amp;M112))</f>
        <v/>
      </c>
      <c r="H112" s="183"/>
      <c r="I112" s="185"/>
      <c r="L112" t="str">
        <f t="shared" ca="1" si="11"/>
        <v>b</v>
      </c>
      <c r="M112" t="str">
        <f>")"&amp;REPT(" ",2-K113)&amp;IF(K113=0," ","")</f>
        <v xml:space="preserve">)   </v>
      </c>
      <c r="O112" s="194"/>
      <c r="P112" s="207">
        <f>D112</f>
        <v>0</v>
      </c>
      <c r="Q112" s="207">
        <f t="shared" si="13"/>
        <v>0</v>
      </c>
      <c r="R112" s="300" t="str">
        <f t="shared" ca="1" si="12"/>
        <v/>
      </c>
      <c r="S112" s="304"/>
      <c r="T112" s="149"/>
      <c r="U112" s="206">
        <f ca="1">IF(OR(AC$8=0,SUM(Z113:AC113)=0),1,IF(L112="l","",SUM(AB113:AC113)))</f>
        <v>1</v>
      </c>
      <c r="V112" s="394"/>
      <c r="W112" s="474"/>
      <c r="Z112"/>
    </row>
    <row r="113" spans="3:29" ht="15" customHeight="1" x14ac:dyDescent="0.15">
      <c r="C113" s="186"/>
      <c r="D113" s="205"/>
      <c r="E113" s="188"/>
      <c r="F113" s="226"/>
      <c r="G113" s="296" t="str">
        <f ca="1">IF(L113="b","",IF(L113="l",0,FIXED(F113,K113,0)&amp;M113))</f>
        <v/>
      </c>
      <c r="H113" s="187"/>
      <c r="I113" s="189"/>
      <c r="K113" s="215"/>
      <c r="L113" t="str">
        <f t="shared" ca="1" si="11"/>
        <v>b</v>
      </c>
      <c r="M113" t="str">
        <f>REPT(" ",3-K113)&amp;IF(K113=0," ","")</f>
        <v xml:space="preserve">    </v>
      </c>
      <c r="O113" s="194"/>
      <c r="P113" s="208">
        <f>IF(ISNUMBER(D113),LOOKUP(D113,$AB$5:$AC$7),D113)</f>
        <v>0</v>
      </c>
      <c r="Q113" s="208">
        <f t="shared" si="13"/>
        <v>0</v>
      </c>
      <c r="R113" s="301" t="str">
        <f t="shared" ca="1" si="12"/>
        <v/>
      </c>
      <c r="S113" s="305">
        <f>H113</f>
        <v>0</v>
      </c>
      <c r="T113" s="150"/>
      <c r="U113" s="216">
        <f ca="1">IF(L113="l","",IF(D113+F113&gt;0,SUM(Z113:AA113),-1))</f>
        <v>-1</v>
      </c>
      <c r="V113" s="395"/>
      <c r="W113" s="473"/>
      <c r="Z113" s="114">
        <f>IF(D113&gt;0,0,TRUNC(F113*T113+Y113*X113))</f>
        <v>0</v>
      </c>
      <c r="AA113" t="b">
        <f>IF($D113=1,SUM(Z$13:Z111)-SUM(AA$13:AA111),IF($D113=2,$AA$6,IF($D113=3,TRUNC($AA$6,-3))))</f>
        <v>0</v>
      </c>
      <c r="AB113">
        <f ca="1">IF(OR(AC$8=0,L112="l",D113&gt;0,U113=-1),0,IF(L112="b",-U113,TRUNC(F112*T113)))</f>
        <v>0</v>
      </c>
      <c r="AC113" t="b">
        <f>IF($D113=1,SUM(AB$13:AB111)-SUM(AC$13:AC111),IF($D113=2,$AA$5,IF($D113=3,TRUNC($AA$5,-3))))</f>
        <v>0</v>
      </c>
    </row>
    <row r="114" spans="3:29" ht="15" customHeight="1" x14ac:dyDescent="0.15">
      <c r="C114" s="182"/>
      <c r="D114" s="210"/>
      <c r="E114" s="184"/>
      <c r="F114" s="227"/>
      <c r="G114" s="297" t="str">
        <f ca="1">IF(OR(AC$8=0,L114="b"),"",IF(L114="l",0,"("&amp;FIXED(-F114,K115,0)&amp;M114))</f>
        <v/>
      </c>
      <c r="H114" s="183"/>
      <c r="I114" s="185"/>
      <c r="L114" t="str">
        <f t="shared" ca="1" si="11"/>
        <v>b</v>
      </c>
      <c r="M114" t="str">
        <f>")"&amp;REPT(" ",2-K115)&amp;IF(K115=0," ","")</f>
        <v xml:space="preserve">)   </v>
      </c>
      <c r="O114" s="194"/>
      <c r="P114" s="207">
        <f>D114</f>
        <v>0</v>
      </c>
      <c r="Q114" s="207">
        <f t="shared" si="13"/>
        <v>0</v>
      </c>
      <c r="R114" s="300" t="str">
        <f t="shared" ca="1" si="12"/>
        <v/>
      </c>
      <c r="S114" s="304"/>
      <c r="T114" s="149"/>
      <c r="U114" s="206">
        <f ca="1">IF(OR(AC$8=0,SUM(Z115:AC115)=0),1,IF(L114="l","",SUM(AB115:AC115)))</f>
        <v>1</v>
      </c>
      <c r="V114" s="394"/>
      <c r="W114" s="50"/>
      <c r="Z114"/>
    </row>
    <row r="115" spans="3:29" ht="15" customHeight="1" x14ac:dyDescent="0.15">
      <c r="C115" s="186"/>
      <c r="D115" s="205"/>
      <c r="E115" s="188"/>
      <c r="F115" s="226"/>
      <c r="G115" s="296" t="str">
        <f ca="1">IF(L115="b","",IF(L115="l",0,FIXED(F115,K115,0)&amp;M115))</f>
        <v/>
      </c>
      <c r="H115" s="187"/>
      <c r="I115" s="189"/>
      <c r="K115" s="215"/>
      <c r="L115" t="str">
        <f t="shared" ca="1" si="11"/>
        <v>b</v>
      </c>
      <c r="M115" t="str">
        <f>REPT(" ",3-K115)&amp;IF(K115=0," ","")</f>
        <v xml:space="preserve">    </v>
      </c>
      <c r="O115" s="194"/>
      <c r="P115" s="208">
        <f>IF(ISNUMBER(D115),LOOKUP(D115,$AB$5:$AC$7),D115)</f>
        <v>0</v>
      </c>
      <c r="Q115" s="208">
        <f t="shared" si="13"/>
        <v>0</v>
      </c>
      <c r="R115" s="301" t="str">
        <f t="shared" ca="1" si="12"/>
        <v/>
      </c>
      <c r="S115" s="305">
        <f>H115</f>
        <v>0</v>
      </c>
      <c r="T115" s="150"/>
      <c r="U115" s="216">
        <f ca="1">IF(L115="l","",IF(D115+F115&gt;0,SUM(Z115:AA115),-1))</f>
        <v>-1</v>
      </c>
      <c r="V115" s="395"/>
      <c r="W115" s="107"/>
      <c r="Z115" s="114">
        <f>IF(D115&gt;0,0,TRUNC(F115*T115+Y115*X115))</f>
        <v>0</v>
      </c>
      <c r="AA115" t="b">
        <f>IF($D115=1,SUM(Z$13:Z113)-SUM(AA$13:AA113),IF($D115=2,$AA$6,IF($D115=3,TRUNC($AA$6,-3))))</f>
        <v>0</v>
      </c>
      <c r="AB115">
        <f ca="1">IF(OR(AC$8=0,L114="l",D115&gt;0,U115=-1),0,IF(L114="b",-U115,TRUNC(F114*T115)))</f>
        <v>0</v>
      </c>
      <c r="AC115" t="b">
        <f>IF($D115=1,SUM(AB$13:AB113)-SUM(AC$13:AC113),IF($D115=2,$AA$5,IF($D115=3,TRUNC($AA$5,-3))))</f>
        <v>0</v>
      </c>
    </row>
    <row r="116" spans="3:29" ht="15" customHeight="1" x14ac:dyDescent="0.15">
      <c r="C116" s="182"/>
      <c r="D116" s="210"/>
      <c r="E116" s="184"/>
      <c r="F116" s="227"/>
      <c r="G116" s="297" t="str">
        <f ca="1">IF(OR(AC$8=0,L116="b"),"",IF(L116="l",0,"("&amp;FIXED(-F116,K117,0)&amp;M116))</f>
        <v/>
      </c>
      <c r="H116" s="183"/>
      <c r="I116" s="185"/>
      <c r="L116" t="str">
        <f t="shared" ca="1" si="11"/>
        <v>b</v>
      </c>
      <c r="M116" t="str">
        <f>")"&amp;REPT(" ",2-K117)&amp;IF(K117=0," ","")</f>
        <v xml:space="preserve">)   </v>
      </c>
      <c r="O116" s="194"/>
      <c r="P116" s="207">
        <f>D116</f>
        <v>0</v>
      </c>
      <c r="Q116" s="207">
        <f t="shared" si="13"/>
        <v>0</v>
      </c>
      <c r="R116" s="300" t="str">
        <f t="shared" ca="1" si="12"/>
        <v/>
      </c>
      <c r="S116" s="304"/>
      <c r="T116" s="149"/>
      <c r="U116" s="206">
        <f ca="1">IF(OR(AC$8=0,SUM(Z117:AC117)=0),1,IF(L116="l","",SUM(AB117:AC117)))</f>
        <v>1</v>
      </c>
      <c r="V116" s="394"/>
      <c r="W116" s="50"/>
      <c r="Z116"/>
    </row>
    <row r="117" spans="3:29" ht="15" customHeight="1" x14ac:dyDescent="0.15">
      <c r="C117" s="186"/>
      <c r="D117" s="205"/>
      <c r="E117" s="188"/>
      <c r="F117" s="226"/>
      <c r="G117" s="296" t="str">
        <f ca="1">IF(L117="b","",IF(L117="l",0,FIXED(F117,K117,0)&amp;M117))</f>
        <v/>
      </c>
      <c r="H117" s="187"/>
      <c r="I117" s="189"/>
      <c r="K117" s="215"/>
      <c r="L117" t="str">
        <f t="shared" ca="1" si="11"/>
        <v>b</v>
      </c>
      <c r="M117" t="str">
        <f>REPT(" ",3-K117)&amp;IF(K117=0," ","")</f>
        <v xml:space="preserve">    </v>
      </c>
      <c r="O117" s="194"/>
      <c r="P117" s="208">
        <f>IF(ISNUMBER(D117),LOOKUP(D117,$AB$5:$AC$7),D117)</f>
        <v>0</v>
      </c>
      <c r="Q117" s="208">
        <f t="shared" si="13"/>
        <v>0</v>
      </c>
      <c r="R117" s="301" t="str">
        <f t="shared" ca="1" si="12"/>
        <v/>
      </c>
      <c r="S117" s="305">
        <f>H117</f>
        <v>0</v>
      </c>
      <c r="T117" s="150"/>
      <c r="U117" s="216">
        <f ca="1">IF(L117="l","",IF(D117+F117&gt;0,SUM(Z117:AA117),-1))</f>
        <v>-1</v>
      </c>
      <c r="V117" s="395"/>
      <c r="W117" s="107"/>
      <c r="Z117" s="114">
        <f>IF(D117&gt;0,0,TRUNC(F117*T117+Y117*X117))</f>
        <v>0</v>
      </c>
      <c r="AA117" t="b">
        <f>IF($D117=1,SUM(Z$13:Z115)-SUM(AA$13:AA115),IF($D117=2,$AA$6,IF($D117=3,TRUNC($AA$6,-3))))</f>
        <v>0</v>
      </c>
      <c r="AB117">
        <f ca="1">IF(OR(AC$8=0,L116="l",D117&gt;0,U117=-1),0,IF(L116="b",-U117,TRUNC(F116*T117)))</f>
        <v>0</v>
      </c>
      <c r="AC117" t="b">
        <f>IF($D117=1,SUM(AB$13:AB115)-SUM(AC$13:AC115),IF($D117=2,$AA$5,IF($D117=3,TRUNC($AA$5,-3))))</f>
        <v>0</v>
      </c>
    </row>
    <row r="118" spans="3:29" ht="15" customHeight="1" x14ac:dyDescent="0.15">
      <c r="C118" s="182"/>
      <c r="D118" s="210"/>
      <c r="E118" s="184"/>
      <c r="F118" s="227"/>
      <c r="G118" s="297" t="str">
        <f ca="1">IF(OR(AC$8=0,L118="b"),"",IF(L118="l",0,"("&amp;FIXED(-F118,K119,0)&amp;M118))</f>
        <v/>
      </c>
      <c r="H118" s="183"/>
      <c r="I118" s="185"/>
      <c r="L118" t="str">
        <f t="shared" ca="1" si="11"/>
        <v>b</v>
      </c>
      <c r="M118" t="str">
        <f>")"&amp;REPT(" ",2-K119)&amp;IF(K119=0," ","")</f>
        <v xml:space="preserve">)   </v>
      </c>
      <c r="O118" s="194"/>
      <c r="P118" s="207">
        <f>D118</f>
        <v>0</v>
      </c>
      <c r="Q118" s="207">
        <f t="shared" si="13"/>
        <v>0</v>
      </c>
      <c r="R118" s="300" t="str">
        <f t="shared" ca="1" si="12"/>
        <v/>
      </c>
      <c r="S118" s="304"/>
      <c r="T118" s="149"/>
      <c r="U118" s="206">
        <f ca="1">IF(OR(AC$8=0,SUM(Z119:AC119)=0),1,IF(L118="l","",SUM(AB119:AC119)))</f>
        <v>1</v>
      </c>
      <c r="V118" s="394"/>
      <c r="W118" s="50"/>
      <c r="Z118"/>
    </row>
    <row r="119" spans="3:29" ht="15" customHeight="1" x14ac:dyDescent="0.15">
      <c r="C119" s="186"/>
      <c r="D119" s="205"/>
      <c r="E119" s="188"/>
      <c r="F119" s="226"/>
      <c r="G119" s="296" t="str">
        <f ca="1">IF(L119="b","",IF(L119="l",0,FIXED(F119,K119,0)&amp;M119))</f>
        <v/>
      </c>
      <c r="H119" s="187"/>
      <c r="I119" s="189"/>
      <c r="K119" s="215"/>
      <c r="L119" t="str">
        <f t="shared" ca="1" si="11"/>
        <v>b</v>
      </c>
      <c r="M119" t="str">
        <f>REPT(" ",3-K119)&amp;IF(K119=0," ","")</f>
        <v xml:space="preserve">    </v>
      </c>
      <c r="O119" s="194"/>
      <c r="P119" s="208">
        <f>IF(ISNUMBER(D119),LOOKUP(D119,$AB$5:$AC$7),D119)</f>
        <v>0</v>
      </c>
      <c r="Q119" s="208">
        <f t="shared" si="13"/>
        <v>0</v>
      </c>
      <c r="R119" s="301" t="str">
        <f t="shared" ca="1" si="12"/>
        <v/>
      </c>
      <c r="S119" s="305">
        <f>H119</f>
        <v>0</v>
      </c>
      <c r="T119" s="150"/>
      <c r="U119" s="216">
        <f ca="1">IF(L119="l","",IF(D119+F119&gt;0,SUM(Z119:AA119),-1))</f>
        <v>-1</v>
      </c>
      <c r="V119" s="395"/>
      <c r="W119" s="107"/>
      <c r="Z119" s="114">
        <f>IF(D119&gt;0,0,TRUNC(F119*T119+Y119*X119))</f>
        <v>0</v>
      </c>
      <c r="AA119" t="b">
        <f>IF($D119=1,SUM(Z$13:Z117)-SUM(AA$13:AA117),IF($D119=2,$AA$6,IF($D119=3,TRUNC($AA$6,-3))))</f>
        <v>0</v>
      </c>
      <c r="AB119">
        <f ca="1">IF(OR(AC$8=0,L118="l",D119&gt;0,U119=-1),0,IF(L118="b",-U119,TRUNC(F118*T119)))</f>
        <v>0</v>
      </c>
      <c r="AC119" t="b">
        <f>IF($D119=1,SUM(AB$13:AB117)-SUM(AC$13:AC117),IF($D119=2,$AA$5,IF($D119=3,TRUNC($AA$5,-3))))</f>
        <v>0</v>
      </c>
    </row>
    <row r="120" spans="3:29" ht="15" customHeight="1" x14ac:dyDescent="0.15">
      <c r="C120" s="182"/>
      <c r="D120" s="210"/>
      <c r="E120" s="184"/>
      <c r="F120" s="227"/>
      <c r="G120" s="297" t="str">
        <f ca="1">IF(OR(AC$8=0,L120="b"),"",IF(L120="l",0,"("&amp;FIXED(-F120,K121,0)&amp;M120))</f>
        <v/>
      </c>
      <c r="H120" s="183"/>
      <c r="I120" s="185"/>
      <c r="L120" t="str">
        <f t="shared" ca="1" si="11"/>
        <v>b</v>
      </c>
      <c r="M120" t="str">
        <f>")"&amp;REPT(" ",2-K121)&amp;IF(K121=0," ","")</f>
        <v xml:space="preserve">)   </v>
      </c>
      <c r="O120" s="194"/>
      <c r="P120" s="207">
        <f>D120</f>
        <v>0</v>
      </c>
      <c r="Q120" s="207">
        <f t="shared" si="13"/>
        <v>0</v>
      </c>
      <c r="R120" s="300" t="str">
        <f t="shared" ca="1" si="12"/>
        <v/>
      </c>
      <c r="S120" s="304"/>
      <c r="T120" s="149"/>
      <c r="U120" s="206">
        <f ca="1">IF(OR(AC$8=0,SUM(Z121:AC121)=0),1,IF(L120="l","",SUM(AB121:AC121)))</f>
        <v>1</v>
      </c>
      <c r="V120" s="394"/>
      <c r="W120" s="50"/>
      <c r="Z120"/>
    </row>
    <row r="121" spans="3:29" ht="15" customHeight="1" x14ac:dyDescent="0.15">
      <c r="C121" s="186"/>
      <c r="D121" s="205"/>
      <c r="E121" s="188"/>
      <c r="F121" s="226"/>
      <c r="G121" s="296" t="str">
        <f ca="1">IF(L121="b","",IF(L121="l",0,FIXED(F121,K121,0)&amp;M121))</f>
        <v/>
      </c>
      <c r="H121" s="187"/>
      <c r="I121" s="189"/>
      <c r="K121" s="215"/>
      <c r="L121" t="str">
        <f t="shared" ca="1" si="11"/>
        <v>b</v>
      </c>
      <c r="M121" t="str">
        <f>REPT(" ",3-K121)&amp;IF(K121=0," ","")</f>
        <v xml:space="preserve">    </v>
      </c>
      <c r="O121" s="194"/>
      <c r="P121" s="208">
        <f>IF(ISNUMBER(D121),LOOKUP(D121,$AB$5:$AC$7),D121)</f>
        <v>0</v>
      </c>
      <c r="Q121" s="208">
        <f t="shared" si="13"/>
        <v>0</v>
      </c>
      <c r="R121" s="301" t="str">
        <f t="shared" ca="1" si="12"/>
        <v/>
      </c>
      <c r="S121" s="305">
        <f>H121</f>
        <v>0</v>
      </c>
      <c r="T121" s="150"/>
      <c r="U121" s="216">
        <f ca="1">IF(L121="l","",IF(D121+F121&gt;0,SUM(Z121:AA121),-1))</f>
        <v>-1</v>
      </c>
      <c r="V121" s="395"/>
      <c r="W121" s="107"/>
      <c r="Z121" s="114">
        <f>IF(D121&gt;0,0,TRUNC(F121*T121+Y121*X121))</f>
        <v>0</v>
      </c>
      <c r="AA121" t="b">
        <f>IF($D121=1,SUM(Z$13:Z119)-SUM(AA$13:AA119),IF($D121=2,$AA$6,IF($D121=3,TRUNC($AA$6,-3))))</f>
        <v>0</v>
      </c>
      <c r="AB121">
        <f ca="1">IF(OR(AC$8=0,L120="l",D121&gt;0,U121=-1),0,IF(L120="b",-U121,TRUNC(F120*T121)))</f>
        <v>0</v>
      </c>
      <c r="AC121" t="b">
        <f>IF($D121=1,SUM(AB$13:AB119)-SUM(AC$13:AC119),IF($D121=2,$AA$5,IF($D121=3,TRUNC($AA$5,-3))))</f>
        <v>0</v>
      </c>
    </row>
    <row r="122" spans="3:29" ht="15" customHeight="1" x14ac:dyDescent="0.15">
      <c r="C122" s="182"/>
      <c r="D122" s="210"/>
      <c r="E122" s="184"/>
      <c r="F122" s="227"/>
      <c r="G122" s="297" t="str">
        <f ca="1">IF(OR(AC$8=0,L122="b"),"",IF(L122="l",0,"("&amp;FIXED(-F122,K123,0)&amp;M122))</f>
        <v/>
      </c>
      <c r="H122" s="183"/>
      <c r="I122" s="185"/>
      <c r="L122" t="str">
        <f t="shared" ca="1" si="11"/>
        <v>b</v>
      </c>
      <c r="M122" t="str">
        <f>")"&amp;REPT(" ",2-K123)&amp;IF(K123=0," ","")</f>
        <v xml:space="preserve">)   </v>
      </c>
      <c r="O122" s="194"/>
      <c r="P122" s="207">
        <f>D122</f>
        <v>0</v>
      </c>
      <c r="Q122" s="207">
        <f t="shared" si="13"/>
        <v>0</v>
      </c>
      <c r="R122" s="300" t="str">
        <f t="shared" ca="1" si="12"/>
        <v/>
      </c>
      <c r="S122" s="304"/>
      <c r="T122" s="149"/>
      <c r="U122" s="206">
        <f ca="1">IF(OR(AC$8=0,SUM(Z123:AC123)=0),1,IF(L122="l","",SUM(AB123:AC123)))</f>
        <v>1</v>
      </c>
      <c r="V122" s="394"/>
      <c r="W122" s="50"/>
      <c r="Z122"/>
    </row>
    <row r="123" spans="3:29" ht="15" customHeight="1" x14ac:dyDescent="0.15">
      <c r="C123" s="186"/>
      <c r="D123" s="205"/>
      <c r="E123" s="188"/>
      <c r="F123" s="226"/>
      <c r="G123" s="296" t="str">
        <f ca="1">IF(L123="b","",IF(L123="l",0,FIXED(F123,K123,0)&amp;M123))</f>
        <v/>
      </c>
      <c r="H123" s="187"/>
      <c r="I123" s="189"/>
      <c r="K123" s="215"/>
      <c r="L123" t="str">
        <f t="shared" ca="1" si="11"/>
        <v>b</v>
      </c>
      <c r="M123" t="str">
        <f>REPT(" ",3-K123)&amp;IF(K123=0," ","")</f>
        <v xml:space="preserve">    </v>
      </c>
      <c r="O123" s="194"/>
      <c r="P123" s="208">
        <f>IF(ISNUMBER(D123),LOOKUP(D123,$AB$5:$AC$7),D123)</f>
        <v>0</v>
      </c>
      <c r="Q123" s="208">
        <f t="shared" si="13"/>
        <v>0</v>
      </c>
      <c r="R123" s="301" t="str">
        <f t="shared" ca="1" si="12"/>
        <v/>
      </c>
      <c r="S123" s="305">
        <f>H123</f>
        <v>0</v>
      </c>
      <c r="T123" s="150"/>
      <c r="U123" s="216">
        <f ca="1">IF(L123="l","",IF(D123+F123&gt;0,SUM(Z123:AA123),-1))</f>
        <v>-1</v>
      </c>
      <c r="V123" s="395"/>
      <c r="W123" s="107"/>
      <c r="Z123" s="114">
        <f>IF(D123&gt;0,0,TRUNC(F123*T123+Y123*X123))</f>
        <v>0</v>
      </c>
      <c r="AA123" t="b">
        <f>IF($D123=1,SUM(Z$13:Z121)-SUM(AA$13:AA121),IF($D123=2,$AA$6,IF($D123=3,TRUNC($AA$6,-3))))</f>
        <v>0</v>
      </c>
      <c r="AB123">
        <f ca="1">IF(OR(AC$8=0,L122="l",D123&gt;0,U123=-1),0,IF(L122="b",-U123,TRUNC(F122*T123)))</f>
        <v>0</v>
      </c>
      <c r="AC123" t="b">
        <f>IF($D123=1,SUM(AB$13:AB121)-SUM(AC$13:AC121),IF($D123=2,$AA$5,IF($D123=3,TRUNC($AA$5,-3))))</f>
        <v>0</v>
      </c>
    </row>
    <row r="124" spans="3:29" ht="15" customHeight="1" x14ac:dyDescent="0.15">
      <c r="C124" s="182"/>
      <c r="D124" s="210"/>
      <c r="E124" s="184"/>
      <c r="F124" s="227"/>
      <c r="G124" s="297" t="str">
        <f ca="1">IF(OR(AC$8=0,L124="b"),"",IF(L124="l",0,"("&amp;FIXED(-F124,K125,0)&amp;M124))</f>
        <v/>
      </c>
      <c r="H124" s="183"/>
      <c r="I124" s="185"/>
      <c r="L124" t="str">
        <f t="shared" ca="1" si="11"/>
        <v>b</v>
      </c>
      <c r="M124" t="str">
        <f>")"&amp;REPT(" ",2-K125)&amp;IF(K125=0," ","")</f>
        <v xml:space="preserve">)   </v>
      </c>
      <c r="O124" s="194"/>
      <c r="P124" s="255">
        <f>D124</f>
        <v>0</v>
      </c>
      <c r="Q124" s="207">
        <f t="shared" si="13"/>
        <v>0</v>
      </c>
      <c r="R124" s="300" t="str">
        <f t="shared" ca="1" si="12"/>
        <v/>
      </c>
      <c r="S124" s="304"/>
      <c r="T124" s="149"/>
      <c r="U124" s="206">
        <f ca="1">IF(OR(AC$8=0,SUM(Z125:AC125)=0),1,IF(L124="l","",SUM(AB125:AC125)))</f>
        <v>1</v>
      </c>
      <c r="V124" s="394"/>
      <c r="W124" s="50"/>
      <c r="Z124"/>
    </row>
    <row r="125" spans="3:29" ht="15" customHeight="1" x14ac:dyDescent="0.15">
      <c r="C125" s="186"/>
      <c r="D125" s="205"/>
      <c r="E125" s="188"/>
      <c r="F125" s="226"/>
      <c r="G125" s="296" t="str">
        <f ca="1">IF(L125="b","",IF(L125="l",0,FIXED(F125,K125,0)&amp;M125))</f>
        <v/>
      </c>
      <c r="H125" s="187"/>
      <c r="I125" s="189"/>
      <c r="K125" s="215"/>
      <c r="L125" t="str">
        <f t="shared" ca="1" si="11"/>
        <v>b</v>
      </c>
      <c r="M125" t="str">
        <f>REPT(" ",3-K125)&amp;IF(K125=0," ","")</f>
        <v xml:space="preserve">    </v>
      </c>
      <c r="O125" s="194"/>
      <c r="P125" s="208">
        <f>IF(ISNUMBER(D125),LOOKUP(D125,$AB$5:$AC$7),D125)</f>
        <v>0</v>
      </c>
      <c r="Q125" s="208">
        <f t="shared" si="13"/>
        <v>0</v>
      </c>
      <c r="R125" s="301" t="str">
        <f t="shared" ca="1" si="12"/>
        <v/>
      </c>
      <c r="S125" s="305">
        <f>H125</f>
        <v>0</v>
      </c>
      <c r="T125" s="478"/>
      <c r="U125" s="216">
        <f ca="1">IF(L125="l","",IF(D125+F125&gt;0,SUM(Z125:AA125),-1))</f>
        <v>-1</v>
      </c>
      <c r="V125" s="395"/>
      <c r="W125" s="107"/>
      <c r="Z125" s="114">
        <f>IF(D125&gt;0,0,TRUNC(F125*T125+Y125*X125))</f>
        <v>0</v>
      </c>
      <c r="AA125" t="b">
        <f>IF($D125=1,SUM(Z$13:Z123)-SUM(AA$13:AA123),IF($D125=2,$AA$6,IF($D125=3,TRUNC($AA$6,-3))))</f>
        <v>0</v>
      </c>
      <c r="AB125">
        <f ca="1">IF(OR(AC$8=0,L124="l",D125&gt;0,U125=-1),0,IF(L124="b",-U125,TRUNC(F124*T125)))</f>
        <v>0</v>
      </c>
      <c r="AC125" t="b">
        <f>IF($D125=1,SUM(AB$13:AB123)-SUM(AC$13:AC123),IF($D125=2,$AA$5,IF($D125=3,TRUNC($AA$5,-3))))</f>
        <v>0</v>
      </c>
    </row>
    <row r="126" spans="3:29" ht="15" customHeight="1" x14ac:dyDescent="0.15">
      <c r="C126" s="182"/>
      <c r="D126" s="210"/>
      <c r="E126" s="184"/>
      <c r="F126" s="227"/>
      <c r="G126" s="297" t="str">
        <f ca="1">IF(OR(AC$8=0,L126="b"),"",IF(L126="l",0,"("&amp;FIXED(-F126,K127,0)&amp;M126))</f>
        <v/>
      </c>
      <c r="H126" s="183"/>
      <c r="I126" s="185"/>
      <c r="L126" t="str">
        <f t="shared" ca="1" si="11"/>
        <v>b</v>
      </c>
      <c r="M126" t="str">
        <f>")"&amp;REPT(" ",2-K127)&amp;IF(K127=0," ","")</f>
        <v xml:space="preserve">)   </v>
      </c>
      <c r="O126" s="194"/>
      <c r="P126" s="207">
        <f>D126</f>
        <v>0</v>
      </c>
      <c r="Q126" s="207">
        <f t="shared" si="13"/>
        <v>0</v>
      </c>
      <c r="R126" s="300" t="str">
        <f t="shared" ca="1" si="12"/>
        <v/>
      </c>
      <c r="S126" s="304"/>
      <c r="T126" s="149"/>
      <c r="U126" s="206">
        <f ca="1">IF(OR(AC$8=0,SUM(Z127:AC127)=0),1,IF(L126="l","",SUM(AB127:AC127)))</f>
        <v>1</v>
      </c>
      <c r="V126" s="394"/>
      <c r="W126" s="50"/>
      <c r="Z126"/>
    </row>
    <row r="127" spans="3:29" ht="15" customHeight="1" x14ac:dyDescent="0.15">
      <c r="C127" s="186"/>
      <c r="D127" s="205"/>
      <c r="E127" s="188"/>
      <c r="F127" s="226"/>
      <c r="G127" s="296" t="str">
        <f ca="1">IF(L127="b","",IF(L127="l",0,FIXED(F127,K127,0)&amp;M127))</f>
        <v/>
      </c>
      <c r="H127" s="187"/>
      <c r="I127" s="189"/>
      <c r="K127" s="215"/>
      <c r="L127" t="str">
        <f t="shared" ca="1" si="11"/>
        <v>b</v>
      </c>
      <c r="M127" t="str">
        <f>REPT(" ",3-K127)&amp;IF(K127=0," ","")</f>
        <v xml:space="preserve">    </v>
      </c>
      <c r="O127" s="194"/>
      <c r="P127" s="208">
        <f>IF(ISNUMBER(D127),LOOKUP(D127,$AB$5:$AC$7),D127)</f>
        <v>0</v>
      </c>
      <c r="Q127" s="208">
        <f t="shared" si="13"/>
        <v>0</v>
      </c>
      <c r="R127" s="301" t="str">
        <f t="shared" ca="1" si="12"/>
        <v/>
      </c>
      <c r="S127" s="305">
        <f>H127</f>
        <v>0</v>
      </c>
      <c r="T127" s="150"/>
      <c r="U127" s="216">
        <f ca="1">IF(L127="l","",IF(D127+F127&gt;0,SUM(Z127:AA127),-1))</f>
        <v>-1</v>
      </c>
      <c r="V127" s="395"/>
      <c r="W127" s="107"/>
      <c r="Z127" s="114">
        <f>IF(D127&gt;0,0,TRUNC(F127*T127+Y127*X127))</f>
        <v>0</v>
      </c>
      <c r="AA127" t="b">
        <f>IF($D127=1,SUM(Z$13:Z125)-SUM(AA$13:AA125),IF($D127=2,$AA$6,IF($D127=3,TRUNC($AA$6,-3))))</f>
        <v>0</v>
      </c>
      <c r="AB127">
        <f ca="1">IF(OR(AC$8=0,L126="l",D127&gt;0,U127=-1),0,IF(L126="b",-U127,TRUNC(F126*T127)))</f>
        <v>0</v>
      </c>
      <c r="AC127" t="b">
        <f>IF($D127=1,SUM(AB$13:AB125)-SUM(AC$13:AC125),IF($D127=2,$AA$5,IF($D127=3,TRUNC($AA$5,-3))))</f>
        <v>0</v>
      </c>
    </row>
    <row r="128" spans="3:29" ht="15" customHeight="1" x14ac:dyDescent="0.15">
      <c r="C128" s="182"/>
      <c r="D128" s="210"/>
      <c r="E128" s="184"/>
      <c r="F128" s="227"/>
      <c r="G128" s="297" t="str">
        <f ca="1">IF(OR(AC$8=0,L128="b"),"",IF(L128="l",0,"("&amp;FIXED(-F128,K129,0)&amp;M128))</f>
        <v/>
      </c>
      <c r="H128" s="183"/>
      <c r="I128" s="185"/>
      <c r="L128" t="str">
        <f t="shared" ca="1" si="11"/>
        <v>b</v>
      </c>
      <c r="M128" t="str">
        <f>")"&amp;REPT(" ",2-K129)&amp;IF(K129=0," ","")</f>
        <v xml:space="preserve">)   </v>
      </c>
      <c r="O128" s="194"/>
      <c r="P128" s="207">
        <f>D128</f>
        <v>0</v>
      </c>
      <c r="Q128" s="207">
        <f t="shared" si="13"/>
        <v>0</v>
      </c>
      <c r="R128" s="300" t="str">
        <f t="shared" ca="1" si="12"/>
        <v/>
      </c>
      <c r="S128" s="304"/>
      <c r="T128" s="149"/>
      <c r="U128" s="206">
        <f ca="1">IF(OR(AC$8=0,SUM(Z129:AC129)=0),1,IF(L128="l","",SUM(AB129:AC129)))</f>
        <v>1</v>
      </c>
      <c r="V128" s="394"/>
      <c r="W128" s="50"/>
      <c r="Z128"/>
    </row>
    <row r="129" spans="3:29" ht="15" customHeight="1" x14ac:dyDescent="0.15">
      <c r="C129" s="186"/>
      <c r="D129" s="205"/>
      <c r="E129" s="188"/>
      <c r="F129" s="226"/>
      <c r="G129" s="296" t="str">
        <f ca="1">IF(L129="b","",IF(L129="l",0,FIXED(F129,K129,0)&amp;M129))</f>
        <v/>
      </c>
      <c r="H129" s="187"/>
      <c r="I129" s="189"/>
      <c r="K129" s="215"/>
      <c r="L129" t="str">
        <f t="shared" ca="1" si="11"/>
        <v>b</v>
      </c>
      <c r="M129" t="str">
        <f>REPT(" ",3-K129)&amp;IF(K129=0," ","")</f>
        <v xml:space="preserve">    </v>
      </c>
      <c r="O129" s="194"/>
      <c r="P129" s="208">
        <f>IF(ISNUMBER(D129),LOOKUP(D129,$AB$5:$AC$7),D129)</f>
        <v>0</v>
      </c>
      <c r="Q129" s="208">
        <f t="shared" si="13"/>
        <v>0</v>
      </c>
      <c r="R129" s="301" t="str">
        <f t="shared" ca="1" si="12"/>
        <v/>
      </c>
      <c r="S129" s="305">
        <f>H129</f>
        <v>0</v>
      </c>
      <c r="T129" s="150"/>
      <c r="U129" s="216">
        <f ca="1">IF(L129="l","",IF(D129+F129&gt;0,SUM(Z129:AA129),-1))</f>
        <v>-1</v>
      </c>
      <c r="V129" s="395"/>
      <c r="W129" s="107"/>
      <c r="Z129" s="114">
        <f>IF(D129&gt;0,0,TRUNC(F129*T129+Y129*X129))</f>
        <v>0</v>
      </c>
      <c r="AA129" t="b">
        <f>IF($D129=1,SUM(Z$13:Z127)-SUM(AA$13:AA127),IF($D129=2,$AA$6,IF($D129=3,TRUNC($AA$6,-3))))</f>
        <v>0</v>
      </c>
      <c r="AB129">
        <f ca="1">IF(OR(AC$8=0,L128="l",D129&gt;0,U129=-1),0,IF(L128="b",-U129,TRUNC(F128*T129)))</f>
        <v>0</v>
      </c>
      <c r="AC129" t="b">
        <f>IF($D129=1,SUM(AB$13:AB127)-SUM(AC$13:AC127),IF($D129=2,$AA$5,IF($D129=3,TRUNC($AA$5,-3))))</f>
        <v>0</v>
      </c>
    </row>
    <row r="130" spans="3:29" ht="15" customHeight="1" x14ac:dyDescent="0.15">
      <c r="C130" s="182"/>
      <c r="D130" s="210"/>
      <c r="E130" s="184"/>
      <c r="F130" s="227"/>
      <c r="G130" s="297" t="str">
        <f ca="1">IF(OR(AC$8=0,L130="b"),"",IF(L130="l",0,"("&amp;FIXED(-F130,K131,0)&amp;M130))</f>
        <v/>
      </c>
      <c r="H130" s="183"/>
      <c r="I130" s="185"/>
      <c r="L130" t="str">
        <f t="shared" ca="1" si="11"/>
        <v>b</v>
      </c>
      <c r="M130" t="str">
        <f>")"&amp;REPT(" ",2-K131)&amp;IF(K131=0," ","")</f>
        <v xml:space="preserve">)   </v>
      </c>
      <c r="O130" s="194"/>
      <c r="P130" s="207">
        <f>D130</f>
        <v>0</v>
      </c>
      <c r="Q130" s="207">
        <f t="shared" si="13"/>
        <v>0</v>
      </c>
      <c r="R130" s="300" t="str">
        <f t="shared" ca="1" si="12"/>
        <v/>
      </c>
      <c r="S130" s="304"/>
      <c r="T130" s="149"/>
      <c r="U130" s="206">
        <f ca="1">IF(OR(AC$8=0,SUM(Z131:AC131)=0),1,IF(L130="l","",SUM(AB131:AC131)))</f>
        <v>1</v>
      </c>
      <c r="V130" s="394"/>
      <c r="W130" s="69"/>
      <c r="Z130"/>
    </row>
    <row r="131" spans="3:29" ht="15" customHeight="1" x14ac:dyDescent="0.15">
      <c r="C131" s="186"/>
      <c r="D131" s="205"/>
      <c r="E131" s="188"/>
      <c r="F131" s="226"/>
      <c r="G131" s="296" t="str">
        <f ca="1">IF(L131="b","",IF(L131="l",0,FIXED(F131,K131,0)&amp;M131))</f>
        <v/>
      </c>
      <c r="H131" s="187"/>
      <c r="I131" s="189"/>
      <c r="K131" s="215"/>
      <c r="L131" t="str">
        <f t="shared" ca="1" si="11"/>
        <v>b</v>
      </c>
      <c r="M131" t="str">
        <f>REPT(" ",3-K131)&amp;IF(K131=0," ","")</f>
        <v xml:space="preserve">    </v>
      </c>
      <c r="O131" s="194"/>
      <c r="P131" s="208">
        <f>IF(ISNUMBER(D131),LOOKUP(D131,$AB$5:$AC$7),D131)</f>
        <v>0</v>
      </c>
      <c r="Q131" s="208">
        <f t="shared" si="13"/>
        <v>0</v>
      </c>
      <c r="R131" s="301" t="str">
        <f t="shared" ca="1" si="12"/>
        <v/>
      </c>
      <c r="S131" s="305">
        <f>H131</f>
        <v>0</v>
      </c>
      <c r="T131" s="150"/>
      <c r="U131" s="216">
        <f ca="1">IF(L131="l","",IF(D131+F131&gt;0,SUM(Z131:AA131),-1))</f>
        <v>-1</v>
      </c>
      <c r="V131" s="395"/>
      <c r="W131" s="141"/>
      <c r="Z131" s="114">
        <f>IF(D131&gt;0,0,TRUNC(F131*T131+Y131*X131))</f>
        <v>0</v>
      </c>
      <c r="AA131" t="b">
        <f>IF($D131=1,SUM(Z$13:Z129)-SUM(AA$13:AA129),IF($D131=2,$AA$6,IF($D131=3,TRUNC($AA$6,-3))))</f>
        <v>0</v>
      </c>
      <c r="AB131">
        <f ca="1">IF(OR(AC$8=0,L130="l",D131&gt;0,U131=-1),0,IF(L130="b",-U131,TRUNC(F130*T131)))</f>
        <v>0</v>
      </c>
      <c r="AC131" t="b">
        <f>IF($D131=1,SUM(AB$13:AB129)-SUM(AC$13:AC129),IF($D131=2,$AA$5,IF($D131=3,TRUNC($AA$5,-3))))</f>
        <v>0</v>
      </c>
    </row>
    <row r="132" spans="3:29" ht="15" customHeight="1" x14ac:dyDescent="0.15">
      <c r="C132" s="182"/>
      <c r="D132" s="210"/>
      <c r="E132" s="184"/>
      <c r="F132" s="227"/>
      <c r="G132" s="297" t="str">
        <f ca="1">IF(OR(AC$8=0,L132="b"),"",IF(L132="l",0,"("&amp;FIXED(-F132,K133,0)&amp;M132))</f>
        <v/>
      </c>
      <c r="H132" s="183"/>
      <c r="I132" s="185"/>
      <c r="L132" t="str">
        <f t="shared" ca="1" si="11"/>
        <v>b</v>
      </c>
      <c r="M132" t="str">
        <f>")"&amp;REPT(" ",2-K133)&amp;IF(K133=0," ","")</f>
        <v xml:space="preserve">)   </v>
      </c>
      <c r="O132" s="194"/>
      <c r="P132" s="207">
        <f>D132</f>
        <v>0</v>
      </c>
      <c r="Q132" s="207">
        <f t="shared" si="13"/>
        <v>0</v>
      </c>
      <c r="R132" s="300" t="str">
        <f t="shared" ca="1" si="12"/>
        <v/>
      </c>
      <c r="S132" s="304"/>
      <c r="T132" s="149"/>
      <c r="U132" s="206">
        <f ca="1">IF(OR(AC$8=0,SUM(Z133:AC133)=0),1,IF(L132="l","",SUM(AB133:AC133)))</f>
        <v>1</v>
      </c>
      <c r="V132" s="394"/>
      <c r="W132" s="50"/>
      <c r="Z132"/>
    </row>
    <row r="133" spans="3:29" ht="15" customHeight="1" x14ac:dyDescent="0.15">
      <c r="C133" s="186"/>
      <c r="D133" s="205"/>
      <c r="E133" s="188"/>
      <c r="F133" s="226"/>
      <c r="G133" s="296" t="str">
        <f ca="1">IF(L133="b","",IF(L133="l",0,FIXED(F133,K133,0)&amp;M133))</f>
        <v/>
      </c>
      <c r="H133" s="187"/>
      <c r="I133" s="189"/>
      <c r="K133" s="215"/>
      <c r="L133" t="str">
        <f t="shared" ca="1" si="11"/>
        <v>b</v>
      </c>
      <c r="M133" t="str">
        <f>REPT(" ",3-K133)&amp;IF(K133=0," ","")</f>
        <v xml:space="preserve">    </v>
      </c>
      <c r="O133" s="194"/>
      <c r="P133" s="208">
        <f>IF(ISNUMBER(D133),LOOKUP(D133,$AB$5:$AC$7),D133)</f>
        <v>0</v>
      </c>
      <c r="Q133" s="208">
        <f t="shared" si="13"/>
        <v>0</v>
      </c>
      <c r="R133" s="301" t="str">
        <f t="shared" ca="1" si="12"/>
        <v/>
      </c>
      <c r="S133" s="305">
        <f>H133</f>
        <v>0</v>
      </c>
      <c r="T133" s="150"/>
      <c r="U133" s="216">
        <f ca="1">IF(L133="l","",IF(D133+F133&gt;0,SUM(Z133:AA133),-1))</f>
        <v>-1</v>
      </c>
      <c r="V133" s="395"/>
      <c r="W133" s="107"/>
      <c r="Z133" s="114">
        <f>IF(D133&gt;0,0,TRUNC(F133*T133+Y133*X133))</f>
        <v>0</v>
      </c>
      <c r="AA133" t="b">
        <f>IF($D133=1,SUM(Z$13:Z131)-SUM(AA$13:AA131),IF($D133=2,$AA$6,IF($D133=3,TRUNC($AA$6,-3))))</f>
        <v>0</v>
      </c>
      <c r="AB133">
        <f ca="1">IF(OR(AC$8=0,L132="l",D133&gt;0,U133=-1),0,IF(L132="b",-U133,TRUNC(F132*T133)))</f>
        <v>0</v>
      </c>
      <c r="AC133" t="b">
        <f>IF($D133=1,SUM(AB$13:AB131)-SUM(AC$13:AC131),IF($D133=2,$AA$5,IF($D133=3,TRUNC($AA$5,-3))))</f>
        <v>0</v>
      </c>
    </row>
    <row r="134" spans="3:29" ht="15" customHeight="1" x14ac:dyDescent="0.15">
      <c r="C134" s="182"/>
      <c r="D134" s="210"/>
      <c r="E134" s="184"/>
      <c r="F134" s="227"/>
      <c r="G134" s="297" t="str">
        <f ca="1">IF(OR(AC$8=0,L134="b"),"",IF(L134="l",0,"("&amp;FIXED(-F134,K135,0)&amp;M134))</f>
        <v/>
      </c>
      <c r="H134" s="183"/>
      <c r="I134" s="185"/>
      <c r="L134" t="str">
        <f t="shared" ca="1" si="11"/>
        <v>b</v>
      </c>
      <c r="M134" t="str">
        <f>")"&amp;REPT(" ",2-K135)&amp;IF(K135=0," ","")</f>
        <v xml:space="preserve">)   </v>
      </c>
      <c r="O134" s="194"/>
      <c r="P134" s="207">
        <f>D134</f>
        <v>0</v>
      </c>
      <c r="Q134" s="207">
        <f t="shared" si="13"/>
        <v>0</v>
      </c>
      <c r="R134" s="300" t="str">
        <f t="shared" ca="1" si="12"/>
        <v/>
      </c>
      <c r="S134" s="304"/>
      <c r="T134" s="149"/>
      <c r="U134" s="206">
        <f ca="1">IF(OR(AC$8=0,SUM(Z135:AC135)=0),1,IF(L134="l","",SUM(AB135:AC135)))</f>
        <v>1</v>
      </c>
      <c r="V134" s="394"/>
      <c r="W134" s="50"/>
      <c r="Z134"/>
    </row>
    <row r="135" spans="3:29" ht="15" customHeight="1" x14ac:dyDescent="0.15">
      <c r="C135" s="186"/>
      <c r="D135" s="205"/>
      <c r="E135" s="188"/>
      <c r="F135" s="226"/>
      <c r="G135" s="296" t="str">
        <f ca="1">IF(L135="b","",IF(L135="l",0,FIXED(F135,K135,0)&amp;M135))</f>
        <v/>
      </c>
      <c r="H135" s="187"/>
      <c r="I135" s="189"/>
      <c r="K135" s="215"/>
      <c r="L135" t="str">
        <f t="shared" ca="1" si="11"/>
        <v>b</v>
      </c>
      <c r="M135" t="str">
        <f>REPT(" ",3-K135)&amp;IF(K135=0," ","")</f>
        <v xml:space="preserve">    </v>
      </c>
      <c r="O135" s="194"/>
      <c r="P135" s="208">
        <f>IF(ISNUMBER(D135),LOOKUP(D135,$AB$5:$AC$7),D135)</f>
        <v>0</v>
      </c>
      <c r="Q135" s="208">
        <f t="shared" si="13"/>
        <v>0</v>
      </c>
      <c r="R135" s="301" t="str">
        <f t="shared" ca="1" si="12"/>
        <v/>
      </c>
      <c r="S135" s="305">
        <f>H135</f>
        <v>0</v>
      </c>
      <c r="T135" s="150"/>
      <c r="U135" s="216">
        <f ca="1">IF(L135="l","",IF(D135+F135&gt;0,SUM(Z135:AA135),-1))</f>
        <v>-1</v>
      </c>
      <c r="V135" s="395"/>
      <c r="W135" s="107"/>
      <c r="Z135" s="114">
        <f>IF(D135&gt;0,0,TRUNC(F135*T135+Y135*X135))</f>
        <v>0</v>
      </c>
      <c r="AA135" t="b">
        <f>IF($D135=1,SUM(Z$13:Z133)-SUM(AA$13:AA133),IF($D135=2,$AA$6,IF($D135=3,TRUNC($AA$6,-3))))</f>
        <v>0</v>
      </c>
      <c r="AB135">
        <f ca="1">IF(OR(AC$8=0,L134="l",D135&gt;0,U135=-1),0,IF(L134="b",-U135,TRUNC(F134*T135)))</f>
        <v>0</v>
      </c>
      <c r="AC135" t="b">
        <f>IF($D135=1,SUM(AB$13:AB133)-SUM(AC$13:AC133),IF($D135=2,$AA$5,IF($D135=3,TRUNC($AA$5,-3))))</f>
        <v>0</v>
      </c>
    </row>
    <row r="136" spans="3:29" ht="15" customHeight="1" x14ac:dyDescent="0.15">
      <c r="C136" s="182"/>
      <c r="D136" s="210"/>
      <c r="E136" s="184"/>
      <c r="F136" s="227"/>
      <c r="G136" s="297" t="str">
        <f ca="1">IF(OR(AC$8=0,L136="b"),"",IF(L136="l",0,"("&amp;FIXED(-F136,K137,0)&amp;M136))</f>
        <v/>
      </c>
      <c r="H136" s="183"/>
      <c r="I136" s="185"/>
      <c r="L136" t="str">
        <f t="shared" ca="1" si="11"/>
        <v>b</v>
      </c>
      <c r="M136" t="str">
        <f>")"&amp;REPT(" ",2-K137)&amp;IF(K137=0," ","")</f>
        <v xml:space="preserve">)   </v>
      </c>
      <c r="O136" s="194"/>
      <c r="P136" s="207">
        <f>D136</f>
        <v>0</v>
      </c>
      <c r="Q136" s="207">
        <f t="shared" si="13"/>
        <v>0</v>
      </c>
      <c r="R136" s="300" t="str">
        <f t="shared" ca="1" si="12"/>
        <v/>
      </c>
      <c r="S136" s="304"/>
      <c r="T136" s="149"/>
      <c r="U136" s="206">
        <f ca="1">IF(OR(AC$8=0,SUM(Z137:AC137)=0),1,IF(L136="l","",SUM(AB137:AC137)))</f>
        <v>1</v>
      </c>
      <c r="V136" s="394"/>
      <c r="W136" s="50"/>
      <c r="Z136"/>
    </row>
    <row r="137" spans="3:29" ht="15" customHeight="1" x14ac:dyDescent="0.15">
      <c r="C137" s="186"/>
      <c r="D137" s="205"/>
      <c r="E137" s="188"/>
      <c r="F137" s="226"/>
      <c r="G137" s="296" t="str">
        <f ca="1">IF(L137="b","",IF(L137="l",0,FIXED(F137,K137,0)&amp;M137))</f>
        <v/>
      </c>
      <c r="H137" s="187"/>
      <c r="I137" s="189"/>
      <c r="K137" s="215"/>
      <c r="L137" t="str">
        <f t="shared" ca="1" si="11"/>
        <v>b</v>
      </c>
      <c r="M137" t="str">
        <f>REPT(" ",3-K137)&amp;IF(K137=0," ","")</f>
        <v xml:space="preserve">    </v>
      </c>
      <c r="O137" s="194"/>
      <c r="P137" s="208">
        <f>IF(ISNUMBER(D137),LOOKUP(D137,$AB$5:$AC$7),D137)</f>
        <v>0</v>
      </c>
      <c r="Q137" s="208">
        <f t="shared" si="13"/>
        <v>0</v>
      </c>
      <c r="R137" s="301" t="str">
        <f t="shared" ca="1" si="12"/>
        <v/>
      </c>
      <c r="S137" s="305">
        <f>H137</f>
        <v>0</v>
      </c>
      <c r="T137" s="150"/>
      <c r="U137" s="216">
        <f ca="1">IF(L137="l","",IF(D137+F137&gt;0,SUM(Z137:AA137),-1))</f>
        <v>-1</v>
      </c>
      <c r="V137" s="395"/>
      <c r="W137" s="107"/>
      <c r="Z137" s="114">
        <f>IF(D137&gt;0,0,TRUNC(F137*T137+Y137*X137))</f>
        <v>0</v>
      </c>
      <c r="AA137" t="b">
        <f>IF($D137=1,SUM(Z$13:Z135)-SUM(AA$13:AA135),IF($D137=2,$AA$6,IF($D137=3,TRUNC($AA$6,-3))))</f>
        <v>0</v>
      </c>
      <c r="AB137">
        <f ca="1">IF(OR(AC$8=0,L136="l",D137&gt;0,U137=-1),0,IF(L136="b",-U137,TRUNC(F136*T137)))</f>
        <v>0</v>
      </c>
      <c r="AC137" t="b">
        <f>IF($D137=1,SUM(AB$13:AB135)-SUM(AC$13:AC135),IF($D137=2,$AA$5,IF($D137=3,TRUNC($AA$5,-3))))</f>
        <v>0</v>
      </c>
    </row>
    <row r="138" spans="3:29" ht="15" customHeight="1" x14ac:dyDescent="0.15">
      <c r="C138" s="182"/>
      <c r="D138" s="210"/>
      <c r="E138" s="184"/>
      <c r="F138" s="227"/>
      <c r="G138" s="297" t="str">
        <f ca="1">IF(OR(AC$8=0,L138="b"),"",IF(L138="l",0,"("&amp;FIXED(-F138,K139,0)&amp;M138))</f>
        <v/>
      </c>
      <c r="H138" s="183"/>
      <c r="I138" s="185"/>
      <c r="L138" t="str">
        <f t="shared" ca="1" si="11"/>
        <v>b</v>
      </c>
      <c r="M138" t="str">
        <f>")"&amp;REPT(" ",2-K139)&amp;IF(K139=0," ","")</f>
        <v xml:space="preserve">)   </v>
      </c>
      <c r="O138" s="194"/>
      <c r="P138" s="207">
        <f>D138</f>
        <v>0</v>
      </c>
      <c r="Q138" s="207">
        <f t="shared" si="13"/>
        <v>0</v>
      </c>
      <c r="R138" s="300" t="str">
        <f t="shared" ca="1" si="12"/>
        <v/>
      </c>
      <c r="S138" s="304"/>
      <c r="T138" s="149"/>
      <c r="U138" s="206">
        <f ca="1">IF(OR(AC$8=0,SUM(Z139:AC139)=0),1,IF(L138="l","",SUM(AB139:AC139)))</f>
        <v>1</v>
      </c>
      <c r="V138" s="394"/>
      <c r="W138" s="50"/>
      <c r="Z138"/>
    </row>
    <row r="139" spans="3:29" ht="15" customHeight="1" x14ac:dyDescent="0.15">
      <c r="C139" s="186"/>
      <c r="D139" s="205"/>
      <c r="E139" s="188"/>
      <c r="F139" s="226"/>
      <c r="G139" s="296" t="str">
        <f ca="1">IF(L139="b","",IF(L139="l",0,FIXED(F139,K139,0)&amp;M139))</f>
        <v/>
      </c>
      <c r="H139" s="187"/>
      <c r="I139" s="189"/>
      <c r="K139" s="215"/>
      <c r="L139" t="str">
        <f t="shared" ca="1" si="11"/>
        <v>b</v>
      </c>
      <c r="M139" t="str">
        <f>REPT(" ",3-K139)&amp;IF(K139=0," ","")</f>
        <v xml:space="preserve">    </v>
      </c>
      <c r="O139" s="194"/>
      <c r="P139" s="208">
        <f>IF(ISNUMBER(D139),LOOKUP(D139,$AB$5:$AC$7),D139)</f>
        <v>0</v>
      </c>
      <c r="Q139" s="208">
        <f t="shared" si="13"/>
        <v>0</v>
      </c>
      <c r="R139" s="301" t="str">
        <f t="shared" ca="1" si="12"/>
        <v/>
      </c>
      <c r="S139" s="305">
        <f>H139</f>
        <v>0</v>
      </c>
      <c r="T139" s="150"/>
      <c r="U139" s="216">
        <f ca="1">IF(L139="l","",IF(D139+F139&gt;0,SUM(Z139:AA139),-1))</f>
        <v>-1</v>
      </c>
      <c r="V139" s="395"/>
      <c r="W139" s="107"/>
      <c r="Z139" s="114">
        <f>IF(D139&gt;0,0,TRUNC(F139*T139+Y139*X139))</f>
        <v>0</v>
      </c>
      <c r="AA139" t="b">
        <f>IF($D139=1,SUM(Z$13:Z137)-SUM(AA$13:AA137),IF($D139=2,$AA$6,IF($D139=3,TRUNC($AA$6,-3))))</f>
        <v>0</v>
      </c>
      <c r="AB139">
        <f ca="1">IF(OR(AC$8=0,L138="l",D139&gt;0,U139=-1),0,IF(L138="b",-U139,TRUNC(F138*T139)))</f>
        <v>0</v>
      </c>
      <c r="AC139" t="b">
        <f>IF($D139=1,SUM(AB$13:AB137)-SUM(AC$13:AC137),IF($D139=2,$AA$5,IF($D139=3,TRUNC($AA$5,-3))))</f>
        <v>0</v>
      </c>
    </row>
    <row r="140" spans="3:29" ht="15" customHeight="1" x14ac:dyDescent="0.15">
      <c r="C140" s="182"/>
      <c r="D140" s="210"/>
      <c r="E140" s="184"/>
      <c r="F140" s="227"/>
      <c r="G140" s="297" t="str">
        <f ca="1">IF(OR(AC$8=0,L140="b"),"",IF(L140="l",0,"("&amp;FIXED(-F140,K141,0)&amp;M140))</f>
        <v/>
      </c>
      <c r="H140" s="183"/>
      <c r="I140" s="185"/>
      <c r="L140" t="str">
        <f t="shared" ca="1" si="11"/>
        <v>b</v>
      </c>
      <c r="M140" t="str">
        <f>")"&amp;REPT(" ",2-K141)&amp;IF(K141=0," ","")</f>
        <v xml:space="preserve">)   </v>
      </c>
      <c r="O140" s="194"/>
      <c r="P140" s="207">
        <f>D140</f>
        <v>0</v>
      </c>
      <c r="Q140" s="207">
        <f t="shared" si="13"/>
        <v>0</v>
      </c>
      <c r="R140" s="300" t="str">
        <f t="shared" ca="1" si="12"/>
        <v/>
      </c>
      <c r="S140" s="304"/>
      <c r="T140" s="149"/>
      <c r="U140" s="206">
        <f ca="1">IF(OR(AC$8=0,SUM(Z141:AC141)=0),1,IF(L140="l","",SUM(AB141:AC141)))</f>
        <v>1</v>
      </c>
      <c r="V140" s="394"/>
      <c r="W140" s="50"/>
      <c r="Z140"/>
    </row>
    <row r="141" spans="3:29" ht="15" customHeight="1" x14ac:dyDescent="0.15">
      <c r="C141" s="186"/>
      <c r="D141" s="205"/>
      <c r="E141" s="188"/>
      <c r="F141" s="226"/>
      <c r="G141" s="296" t="str">
        <f ca="1">IF(L141="b","",IF(L141="l",0,FIXED(F141,K141,0)&amp;M141))</f>
        <v/>
      </c>
      <c r="H141" s="187"/>
      <c r="I141" s="189"/>
      <c r="K141" s="215"/>
      <c r="L141" t="str">
        <f t="shared" ca="1" si="11"/>
        <v>b</v>
      </c>
      <c r="M141" t="str">
        <f>REPT(" ",3-K141)&amp;IF(K141=0," ","")</f>
        <v xml:space="preserve">    </v>
      </c>
      <c r="O141" s="194"/>
      <c r="P141" s="208">
        <f>IF(ISNUMBER(D141),LOOKUP(D141,$AB$5:$AC$7),D141)</f>
        <v>0</v>
      </c>
      <c r="Q141" s="208">
        <f t="shared" si="13"/>
        <v>0</v>
      </c>
      <c r="R141" s="301" t="str">
        <f t="shared" ca="1" si="12"/>
        <v/>
      </c>
      <c r="S141" s="305">
        <f>H141</f>
        <v>0</v>
      </c>
      <c r="T141" s="150"/>
      <c r="U141" s="216">
        <f ca="1">IF(L141="l","",IF(D141+F141&gt;0,SUM(Z141:AA141),-1))</f>
        <v>-1</v>
      </c>
      <c r="V141" s="395"/>
      <c r="W141" s="107"/>
      <c r="Z141" s="114">
        <f>IF(D141&gt;0,0,TRUNC(F141*T141+Y141*X141))</f>
        <v>0</v>
      </c>
      <c r="AA141" t="b">
        <f>IF($D141=1,SUM(Z$13:Z139)-SUM(AA$13:AA139),IF($D141=2,$AA$6,IF($D141=3,TRUNC($AA$6,-3))))</f>
        <v>0</v>
      </c>
      <c r="AB141">
        <f ca="1">IF(OR(AC$8=0,L140="l",D141&gt;0,U141=-1),0,IF(L140="b",-U141,TRUNC(F140*T141)))</f>
        <v>0</v>
      </c>
      <c r="AC141" t="b">
        <f>IF($D141=1,SUM(AB$13:AB139)-SUM(AC$13:AC139),IF($D141=2,$AA$5,IF($D141=3,TRUNC($AA$5,-3))))</f>
        <v>0</v>
      </c>
    </row>
    <row r="142" spans="3:29" ht="15" customHeight="1" x14ac:dyDescent="0.15">
      <c r="C142" s="182"/>
      <c r="D142" s="210"/>
      <c r="E142" s="184"/>
      <c r="F142" s="227"/>
      <c r="G142" s="297" t="str">
        <f ca="1">IF(OR(AC$8=0,L142="b"),"",IF(L142="l",0,"("&amp;FIXED(-F142,K143,0)&amp;M142))</f>
        <v/>
      </c>
      <c r="H142" s="183"/>
      <c r="I142" s="185"/>
      <c r="L142" t="str">
        <f t="shared" ca="1" si="11"/>
        <v>b</v>
      </c>
      <c r="M142" t="str">
        <f>")"&amp;REPT(" ",2-K143)&amp;IF(K143=0," ","")</f>
        <v xml:space="preserve">)   </v>
      </c>
      <c r="O142" s="182"/>
      <c r="P142" s="207">
        <f>D142</f>
        <v>0</v>
      </c>
      <c r="Q142" s="207">
        <f t="shared" si="13"/>
        <v>0</v>
      </c>
      <c r="R142" s="300" t="str">
        <f t="shared" ca="1" si="12"/>
        <v/>
      </c>
      <c r="S142" s="304"/>
      <c r="T142" s="149"/>
      <c r="U142" s="206">
        <f ca="1">IF(OR(AC$8=0,SUM(Z143:AC143)=0),1,IF(L142="l","",SUM(AB143:AC143)))</f>
        <v>1</v>
      </c>
      <c r="V142" s="394"/>
      <c r="W142" s="50"/>
      <c r="Z142"/>
    </row>
    <row r="143" spans="3:29" ht="15" customHeight="1" thickBot="1" x14ac:dyDescent="0.2">
      <c r="C143" s="190"/>
      <c r="D143" s="211"/>
      <c r="E143" s="192"/>
      <c r="F143" s="228"/>
      <c r="G143" s="299" t="str">
        <f ca="1">IF(L143="b","",IF(L143="l",0,FIXED(F143,K143,0)&amp;M143))</f>
        <v/>
      </c>
      <c r="H143" s="191"/>
      <c r="I143" s="193"/>
      <c r="K143" s="215"/>
      <c r="L143" t="str">
        <f t="shared" ca="1" si="11"/>
        <v>b</v>
      </c>
      <c r="M143" t="str">
        <f>REPT(" ",3-K143)&amp;IF(K143=0," ","")</f>
        <v xml:space="preserve">    </v>
      </c>
      <c r="O143" s="190"/>
      <c r="P143" s="209">
        <f>IF(ISNUMBER(D143),LOOKUP(D143,$AB$5:$AC$7),D143)</f>
        <v>0</v>
      </c>
      <c r="Q143" s="209">
        <f t="shared" si="13"/>
        <v>0</v>
      </c>
      <c r="R143" s="302" t="str">
        <f t="shared" ca="1" si="12"/>
        <v/>
      </c>
      <c r="S143" s="306">
        <f>H143</f>
        <v>0</v>
      </c>
      <c r="T143" s="151"/>
      <c r="U143" s="217">
        <f ca="1">IF(L143="l","",IF(D143+F143&gt;0,SUM(Z143:AA143),-1))</f>
        <v>-1</v>
      </c>
      <c r="V143" s="396"/>
      <c r="W143" s="55"/>
      <c r="Z143" s="114">
        <f>IF(D143&gt;0,0,TRUNC(F143*T143+Y143*X143))</f>
        <v>0</v>
      </c>
      <c r="AA143" t="b">
        <f>IF($D143=1,SUM(Z$13:Z141)-SUM(AA$13:AA141),IF($D143=2,$AA$6,IF($D143=3,TRUNC($AA$6,-3))))</f>
        <v>0</v>
      </c>
      <c r="AB143">
        <f ca="1">IF(OR(AC$8=0,L142="l",D143&gt;0,U143=-1),0,IF(L142="b",-U143,TRUNC(F142*T143)))</f>
        <v>0</v>
      </c>
      <c r="AC143" t="b">
        <f>IF($D143=1,SUM(AB$13:AB141)-SUM(AC$13:AC141),IF($D143=2,$AA$5,IF($D143=3,TRUNC($AA$5,-3))))</f>
        <v>0</v>
      </c>
    </row>
    <row r="144" spans="3:29" x14ac:dyDescent="0.15">
      <c r="E144" s="411"/>
    </row>
    <row r="145" spans="5:5" x14ac:dyDescent="0.15">
      <c r="E145" s="411"/>
    </row>
    <row r="146" spans="5:5" x14ac:dyDescent="0.15">
      <c r="E146" s="411"/>
    </row>
    <row r="147" spans="5:5" x14ac:dyDescent="0.15">
      <c r="E147" s="411"/>
    </row>
    <row r="148" spans="5:5" x14ac:dyDescent="0.15">
      <c r="E148" s="411"/>
    </row>
    <row r="149" spans="5:5" x14ac:dyDescent="0.15">
      <c r="E149" s="411"/>
    </row>
    <row r="150" spans="5:5" x14ac:dyDescent="0.15">
      <c r="E150" s="411"/>
    </row>
    <row r="151" spans="5:5" x14ac:dyDescent="0.15">
      <c r="E151" s="411"/>
    </row>
    <row r="152" spans="5:5" x14ac:dyDescent="0.15">
      <c r="E152" s="411"/>
    </row>
    <row r="153" spans="5:5" x14ac:dyDescent="0.15">
      <c r="E153" s="411"/>
    </row>
    <row r="154" spans="5:5" x14ac:dyDescent="0.15">
      <c r="E154" s="411"/>
    </row>
    <row r="155" spans="5:5" x14ac:dyDescent="0.15">
      <c r="E155" s="411"/>
    </row>
    <row r="156" spans="5:5" x14ac:dyDescent="0.15">
      <c r="E156" s="411"/>
    </row>
    <row r="157" spans="5:5" x14ac:dyDescent="0.15">
      <c r="E157" s="411"/>
    </row>
    <row r="158" spans="5:5" x14ac:dyDescent="0.15">
      <c r="E158" s="411"/>
    </row>
    <row r="159" spans="5:5" x14ac:dyDescent="0.15">
      <c r="E159" s="411"/>
    </row>
    <row r="160" spans="5:5" x14ac:dyDescent="0.15">
      <c r="E160" s="411"/>
    </row>
    <row r="161" spans="5:5" x14ac:dyDescent="0.15">
      <c r="E161" s="411"/>
    </row>
    <row r="162" spans="5:5" x14ac:dyDescent="0.15">
      <c r="E162" s="411"/>
    </row>
    <row r="163" spans="5:5" x14ac:dyDescent="0.15">
      <c r="E163" s="411"/>
    </row>
    <row r="164" spans="5:5" x14ac:dyDescent="0.15">
      <c r="E164" s="411"/>
    </row>
  </sheetData>
  <mergeCells count="4">
    <mergeCell ref="V9:V11"/>
    <mergeCell ref="O9:O11"/>
    <mergeCell ref="O75:O77"/>
    <mergeCell ref="V75:V77"/>
  </mergeCells>
  <phoneticPr fontId="12"/>
  <conditionalFormatting sqref="O73 O79:O141 O62:O71 O13:O60">
    <cfRule type="expression" dxfId="2" priority="1" stopIfTrue="1">
      <formula>D13=1</formula>
    </cfRule>
  </conditionalFormatting>
  <dataValidations count="1">
    <dataValidation imeMode="off" showInputMessage="1" showErrorMessage="1" promptTitle="警告" prompt="計算式が設定されています_x000a_入力を続けますか?" sqref="G78:G143 G12:G73" xr:uid="{00000000-0002-0000-1200-000000000000}"/>
  </dataValidations>
  <pageMargins left="0.70866141732283472" right="0.19685039370078741" top="0.78740157480314965" bottom="0.39370078740157483" header="0" footer="0"/>
  <pageSetup paperSize="9" scale="80" orientation="portrait" blackAndWhite="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ransitionEvaluation="1">
    <tabColor indexed="35"/>
  </sheetPr>
  <dimension ref="A1:AB70"/>
  <sheetViews>
    <sheetView showZeros="0" view="pageBreakPreview" zoomScaleNormal="90" zoomScaleSheetLayoutView="100" workbookViewId="0">
      <selection activeCell="K4" sqref="K4"/>
    </sheetView>
  </sheetViews>
  <sheetFormatPr defaultRowHeight="13.5" x14ac:dyDescent="0.15"/>
  <cols>
    <col min="1" max="2" width="4.625" customWidth="1"/>
    <col min="3" max="3" width="3.625" customWidth="1"/>
    <col min="4" max="4" width="20.625" customWidth="1"/>
    <col min="5" max="5" width="22.625" customWidth="1"/>
    <col min="6" max="6" width="11.625" customWidth="1"/>
    <col min="7" max="7" width="4.625" customWidth="1"/>
    <col min="8" max="8" width="10.625" customWidth="1"/>
    <col min="9" max="9" width="15.625" customWidth="1"/>
    <col min="10" max="10" width="7.625" customWidth="1"/>
    <col min="11" max="11" width="19.625" customWidth="1"/>
    <col min="12" max="12" width="4.625" customWidth="1"/>
    <col min="13" max="13" width="3.625" customWidth="1"/>
    <col min="14" max="14" width="20.625" customWidth="1"/>
    <col min="15" max="15" width="22.625" customWidth="1"/>
    <col min="16" max="16" width="11.625" customWidth="1"/>
    <col min="17" max="17" width="4.625" customWidth="1"/>
    <col min="18" max="18" width="10.625" customWidth="1"/>
    <col min="19" max="19" width="15.625" customWidth="1"/>
    <col min="20" max="20" width="7.625" customWidth="1"/>
    <col min="21" max="21" width="19.625" customWidth="1"/>
    <col min="23" max="25" width="10.625" customWidth="1"/>
    <col min="27" max="28" width="10.5" bestFit="1" customWidth="1"/>
  </cols>
  <sheetData>
    <row r="1" spans="1:28" ht="14.25" thickBot="1" x14ac:dyDescent="0.2">
      <c r="A1">
        <f>鏡!H2-1</f>
        <v>0</v>
      </c>
    </row>
    <row r="2" spans="1:28" x14ac:dyDescent="0.15">
      <c r="C2" s="16"/>
      <c r="D2" s="17"/>
      <c r="E2" s="17"/>
      <c r="F2" s="18"/>
      <c r="G2" s="17"/>
      <c r="H2" s="18"/>
      <c r="I2" s="18"/>
      <c r="J2" s="18"/>
      <c r="K2" s="19"/>
      <c r="M2" s="16"/>
      <c r="N2" s="17"/>
      <c r="O2" s="17"/>
      <c r="P2" s="18"/>
      <c r="Q2" s="17"/>
      <c r="R2" s="18"/>
      <c r="S2" s="18"/>
      <c r="T2" s="18"/>
      <c r="U2" s="19"/>
    </row>
    <row r="3" spans="1:28" ht="21" x14ac:dyDescent="0.2">
      <c r="A3" s="284"/>
      <c r="C3" s="457" t="s">
        <v>70</v>
      </c>
      <c r="D3" s="25"/>
      <c r="E3" s="25"/>
      <c r="F3" s="25"/>
      <c r="G3" s="25"/>
      <c r="H3" s="25"/>
      <c r="I3" s="25"/>
      <c r="J3" s="25"/>
      <c r="K3" s="26"/>
      <c r="M3" s="286" t="s">
        <v>70</v>
      </c>
      <c r="N3" s="25"/>
      <c r="O3" s="25"/>
      <c r="P3" s="25"/>
      <c r="Q3" s="25"/>
      <c r="R3" s="25"/>
      <c r="S3" s="25"/>
      <c r="T3" s="25"/>
      <c r="U3" s="26"/>
    </row>
    <row r="4" spans="1:28" ht="18.75" x14ac:dyDescent="0.2">
      <c r="A4" s="285"/>
      <c r="C4" s="23"/>
      <c r="D4" s="20"/>
      <c r="E4" s="461" t="e">
        <f>I31</f>
        <v>#REF!</v>
      </c>
      <c r="F4" s="21"/>
      <c r="G4" s="20"/>
      <c r="H4" s="21"/>
      <c r="I4" s="21"/>
      <c r="J4" s="21"/>
      <c r="K4" s="462"/>
      <c r="M4" s="23"/>
      <c r="N4" s="20"/>
      <c r="O4" s="103">
        <f>S25</f>
        <v>0</v>
      </c>
      <c r="P4" s="21"/>
      <c r="Q4" s="20"/>
      <c r="R4" s="21"/>
      <c r="S4" s="21"/>
      <c r="T4" s="21"/>
      <c r="U4" s="104" t="s">
        <v>87</v>
      </c>
    </row>
    <row r="5" spans="1:28" ht="18.75" x14ac:dyDescent="0.2">
      <c r="A5" s="285"/>
      <c r="C5" s="23"/>
      <c r="D5" s="20"/>
      <c r="E5" s="459" t="e">
        <f>I32</f>
        <v>#REF!</v>
      </c>
      <c r="F5" s="21"/>
      <c r="G5" s="20"/>
      <c r="H5" s="21"/>
      <c r="I5" s="21"/>
      <c r="J5" s="21"/>
      <c r="K5" s="22"/>
      <c r="M5" s="23"/>
      <c r="N5" s="20"/>
      <c r="O5" s="303">
        <f>S26</f>
        <v>0</v>
      </c>
      <c r="P5" s="21"/>
      <c r="Q5" s="20"/>
      <c r="R5" s="21"/>
      <c r="S5" s="21"/>
      <c r="T5" s="21"/>
      <c r="U5" s="22"/>
    </row>
    <row r="6" spans="1:28" ht="13.5" customHeight="1" x14ac:dyDescent="0.15">
      <c r="C6" s="751" t="s">
        <v>258</v>
      </c>
      <c r="D6" s="4"/>
      <c r="E6" s="4"/>
      <c r="F6" s="5"/>
      <c r="G6" s="4"/>
      <c r="H6" s="648"/>
      <c r="I6" s="648"/>
      <c r="J6" s="754" t="s">
        <v>257</v>
      </c>
      <c r="K6" s="105"/>
      <c r="M6" s="751" t="s">
        <v>275</v>
      </c>
      <c r="N6" s="4"/>
      <c r="O6" s="4"/>
      <c r="P6" s="5"/>
      <c r="Q6" s="4"/>
      <c r="R6" s="14" t="s">
        <v>88</v>
      </c>
      <c r="S6" s="15"/>
      <c r="T6" s="748" t="s">
        <v>257</v>
      </c>
      <c r="U6" s="105"/>
    </row>
    <row r="7" spans="1:28" x14ac:dyDescent="0.15">
      <c r="C7" s="752"/>
      <c r="D7" s="6" t="s">
        <v>89</v>
      </c>
      <c r="E7" s="6" t="s">
        <v>90</v>
      </c>
      <c r="F7" s="7" t="s">
        <v>322</v>
      </c>
      <c r="G7" s="6" t="s">
        <v>92</v>
      </c>
      <c r="H7" s="6" t="s">
        <v>93</v>
      </c>
      <c r="I7" s="6" t="s">
        <v>94</v>
      </c>
      <c r="J7" s="749"/>
      <c r="K7" s="69" t="s">
        <v>95</v>
      </c>
      <c r="M7" s="752"/>
      <c r="N7" s="6" t="s">
        <v>89</v>
      </c>
      <c r="O7" s="6" t="s">
        <v>90</v>
      </c>
      <c r="P7" s="7" t="s">
        <v>322</v>
      </c>
      <c r="Q7" s="6" t="s">
        <v>92</v>
      </c>
      <c r="R7" s="6" t="s">
        <v>93</v>
      </c>
      <c r="S7" s="6" t="s">
        <v>94</v>
      </c>
      <c r="T7" s="749"/>
      <c r="U7" s="69" t="s">
        <v>95</v>
      </c>
      <c r="X7" t="s">
        <v>304</v>
      </c>
      <c r="AA7" t="s">
        <v>305</v>
      </c>
    </row>
    <row r="8" spans="1:28" ht="14.25" thickBot="1" x14ac:dyDescent="0.2">
      <c r="C8" s="753"/>
      <c r="D8" s="39"/>
      <c r="E8" s="39"/>
      <c r="F8" s="40"/>
      <c r="G8" s="39"/>
      <c r="H8" s="56" t="s">
        <v>96</v>
      </c>
      <c r="I8" s="56" t="s">
        <v>96</v>
      </c>
      <c r="J8" s="750"/>
      <c r="K8" s="52"/>
      <c r="M8" s="753"/>
      <c r="N8" s="39"/>
      <c r="O8" s="39"/>
      <c r="P8" s="40"/>
      <c r="Q8" s="39"/>
      <c r="R8" s="56" t="s">
        <v>96</v>
      </c>
      <c r="S8" s="56" t="s">
        <v>96</v>
      </c>
      <c r="T8" s="750"/>
      <c r="U8" s="52"/>
      <c r="X8" t="s">
        <v>296</v>
      </c>
      <c r="Y8" t="s">
        <v>216</v>
      </c>
      <c r="AA8" t="s">
        <v>296</v>
      </c>
      <c r="AB8" t="s">
        <v>216</v>
      </c>
    </row>
    <row r="9" spans="1:28" ht="15" customHeight="1" thickTop="1" x14ac:dyDescent="0.15">
      <c r="C9" s="23"/>
      <c r="D9" s="6"/>
      <c r="E9" s="6"/>
      <c r="F9" s="310"/>
      <c r="G9" s="6"/>
      <c r="H9" s="12"/>
      <c r="I9" s="12" t="e">
        <f>IF(X10+Y10=0,0,Y10)</f>
        <v>#REF!</v>
      </c>
      <c r="J9" s="10"/>
      <c r="K9" s="50" t="s">
        <v>98</v>
      </c>
      <c r="M9" s="23"/>
      <c r="N9" s="6"/>
      <c r="O9" s="6"/>
      <c r="P9" s="310"/>
      <c r="Q9" s="6"/>
      <c r="R9" s="12"/>
      <c r="S9" s="12">
        <f>IF(AA10+AB10=0,0,AB10)</f>
        <v>0</v>
      </c>
      <c r="T9" s="10"/>
      <c r="U9" s="50" t="s">
        <v>98</v>
      </c>
    </row>
    <row r="10" spans="1:28" ht="15" customHeight="1" x14ac:dyDescent="0.15">
      <c r="C10" s="23"/>
      <c r="D10" s="8" t="s">
        <v>337</v>
      </c>
      <c r="E10" s="8"/>
      <c r="F10" s="309" t="e">
        <f>IF(I10&gt;0,1,0)</f>
        <v>#REF!</v>
      </c>
      <c r="G10" s="8" t="s">
        <v>99</v>
      </c>
      <c r="H10" s="13"/>
      <c r="I10" s="13" t="e">
        <f>X10</f>
        <v>#REF!</v>
      </c>
      <c r="J10" s="9"/>
      <c r="K10" s="139" t="s">
        <v>100</v>
      </c>
      <c r="M10" s="23"/>
      <c r="N10" s="8"/>
      <c r="O10" s="8"/>
      <c r="P10" s="309">
        <f>IF(S10&gt;0,1,0)</f>
        <v>0</v>
      </c>
      <c r="Q10" s="8" t="s">
        <v>99</v>
      </c>
      <c r="R10" s="13"/>
      <c r="S10" s="13">
        <f>AA10</f>
        <v>0</v>
      </c>
      <c r="T10" s="9"/>
      <c r="U10" s="139" t="s">
        <v>100</v>
      </c>
      <c r="W10" t="s">
        <v>303</v>
      </c>
      <c r="X10" s="638" t="e">
        <f>SUM(工事価格!Y$25:Y$27)</f>
        <v>#REF!</v>
      </c>
      <c r="Y10" s="638" t="e">
        <f>SUM(工事価格!Z$25:Z$29)</f>
        <v>#REF!</v>
      </c>
    </row>
    <row r="11" spans="1:28" ht="15" customHeight="1" x14ac:dyDescent="0.15">
      <c r="C11" s="23"/>
      <c r="D11" s="6"/>
      <c r="E11" s="6"/>
      <c r="F11" s="310"/>
      <c r="G11" s="6"/>
      <c r="H11" s="12"/>
      <c r="I11" s="12">
        <f>IF(X12+Y12=0,0,Y12)</f>
        <v>0</v>
      </c>
      <c r="J11" s="10"/>
      <c r="K11" s="50"/>
      <c r="M11" s="23"/>
      <c r="N11" s="6"/>
      <c r="O11" s="6"/>
      <c r="P11" s="310"/>
      <c r="Q11" s="6"/>
      <c r="R11" s="12"/>
      <c r="S11" s="12">
        <f>IF(AA12+AB12=0,0,AB12)</f>
        <v>0</v>
      </c>
      <c r="T11" s="10"/>
      <c r="U11" s="50"/>
    </row>
    <row r="12" spans="1:28" ht="15" customHeight="1" x14ac:dyDescent="0.15">
      <c r="C12" s="23"/>
      <c r="D12" s="8"/>
      <c r="E12" s="8"/>
      <c r="F12" s="309"/>
      <c r="G12" s="8"/>
      <c r="H12" s="13"/>
      <c r="I12" s="13">
        <f>X12</f>
        <v>0</v>
      </c>
      <c r="J12" s="9"/>
      <c r="K12" s="108"/>
      <c r="M12" s="23"/>
      <c r="N12" s="8"/>
      <c r="O12" s="8"/>
      <c r="P12" s="309">
        <f>IF(S12&gt;0,1,0)</f>
        <v>0</v>
      </c>
      <c r="Q12" s="8" t="s">
        <v>99</v>
      </c>
      <c r="R12" s="13"/>
      <c r="S12" s="13">
        <f>AA12</f>
        <v>0</v>
      </c>
      <c r="T12" s="9"/>
      <c r="U12" s="108"/>
      <c r="X12" s="116"/>
    </row>
    <row r="13" spans="1:28" ht="15" customHeight="1" x14ac:dyDescent="0.15">
      <c r="C13" s="23"/>
      <c r="D13" s="6"/>
      <c r="E13" s="6"/>
      <c r="F13" s="310"/>
      <c r="G13" s="6"/>
      <c r="H13" s="12"/>
      <c r="I13" s="12"/>
      <c r="J13" s="10"/>
      <c r="K13" s="50"/>
      <c r="M13" s="23"/>
      <c r="N13" s="6"/>
      <c r="O13" s="6"/>
      <c r="P13" s="287"/>
      <c r="Q13" s="6"/>
      <c r="R13" s="12"/>
      <c r="S13" s="12"/>
      <c r="T13" s="10"/>
      <c r="U13" s="50"/>
    </row>
    <row r="14" spans="1:28" ht="15" customHeight="1" x14ac:dyDescent="0.15">
      <c r="C14" s="23"/>
      <c r="D14" s="8"/>
      <c r="E14" s="8"/>
      <c r="F14" s="309"/>
      <c r="G14" s="8"/>
      <c r="H14" s="13"/>
      <c r="I14" s="13"/>
      <c r="J14" s="9"/>
      <c r="K14" s="108"/>
      <c r="M14" s="23"/>
      <c r="N14" s="8"/>
      <c r="O14" s="8"/>
      <c r="P14" s="288"/>
      <c r="Q14" s="8"/>
      <c r="R14" s="13"/>
      <c r="S14" s="13"/>
      <c r="T14" s="9"/>
      <c r="U14" s="107"/>
    </row>
    <row r="15" spans="1:28" ht="15" customHeight="1" x14ac:dyDescent="0.15">
      <c r="C15" s="23"/>
      <c r="D15" s="6"/>
      <c r="E15" s="6"/>
      <c r="F15" s="310"/>
      <c r="G15" s="6"/>
      <c r="H15" s="12"/>
      <c r="I15" s="12"/>
      <c r="J15" s="10"/>
      <c r="K15" s="50"/>
      <c r="M15" s="23"/>
      <c r="N15" s="6"/>
      <c r="O15" s="6"/>
      <c r="P15" s="287"/>
      <c r="Q15" s="6"/>
      <c r="R15" s="12"/>
      <c r="S15" s="12"/>
      <c r="T15" s="10"/>
      <c r="U15" s="50"/>
    </row>
    <row r="16" spans="1:28" ht="15" customHeight="1" x14ac:dyDescent="0.15">
      <c r="C16" s="23"/>
      <c r="D16" s="8"/>
      <c r="E16" s="8"/>
      <c r="F16" s="309"/>
      <c r="G16" s="8"/>
      <c r="H16" s="13"/>
      <c r="I16" s="13"/>
      <c r="J16" s="9"/>
      <c r="K16" s="108"/>
      <c r="M16" s="23"/>
      <c r="N16" s="8"/>
      <c r="O16" s="8"/>
      <c r="P16" s="288"/>
      <c r="Q16" s="8"/>
      <c r="R16" s="13"/>
      <c r="S16" s="13"/>
      <c r="T16" s="9"/>
      <c r="U16" s="139"/>
    </row>
    <row r="17" spans="3:28" ht="15" customHeight="1" x14ac:dyDescent="0.15">
      <c r="C17" s="23"/>
      <c r="D17" s="6"/>
      <c r="E17" s="6"/>
      <c r="F17" s="287"/>
      <c r="G17" s="6"/>
      <c r="H17" s="12"/>
      <c r="I17" s="12"/>
      <c r="J17" s="10"/>
      <c r="K17" s="50"/>
      <c r="M17" s="23"/>
      <c r="N17" s="6"/>
      <c r="O17" s="6"/>
      <c r="P17" s="287"/>
      <c r="Q17" s="6"/>
      <c r="R17" s="12"/>
      <c r="S17" s="12"/>
      <c r="T17" s="10"/>
      <c r="U17" s="50"/>
    </row>
    <row r="18" spans="3:28" ht="15" customHeight="1" x14ac:dyDescent="0.15">
      <c r="C18" s="23"/>
      <c r="D18" s="8"/>
      <c r="E18" s="8"/>
      <c r="F18" s="288"/>
      <c r="G18" s="8"/>
      <c r="H18" s="13"/>
      <c r="I18" s="13"/>
      <c r="J18" s="9"/>
      <c r="K18" s="107"/>
      <c r="M18" s="23"/>
      <c r="N18" s="8"/>
      <c r="O18" s="8"/>
      <c r="P18" s="288"/>
      <c r="Q18" s="8"/>
      <c r="R18" s="13"/>
      <c r="S18" s="13"/>
      <c r="T18" s="9"/>
      <c r="U18" s="107"/>
    </row>
    <row r="19" spans="3:28" ht="15" customHeight="1" x14ac:dyDescent="0.15">
      <c r="C19" s="23"/>
      <c r="D19" s="6"/>
      <c r="E19" s="6"/>
      <c r="F19" s="287"/>
      <c r="G19" s="6"/>
      <c r="H19" s="12"/>
      <c r="I19" s="12"/>
      <c r="J19" s="10"/>
      <c r="K19" s="50"/>
      <c r="M19" s="23"/>
      <c r="N19" s="6"/>
      <c r="O19" s="6"/>
      <c r="P19" s="287"/>
      <c r="Q19" s="6"/>
      <c r="R19" s="12"/>
      <c r="S19" s="12"/>
      <c r="T19" s="10"/>
      <c r="U19" s="50"/>
    </row>
    <row r="20" spans="3:28" ht="15" customHeight="1" x14ac:dyDescent="0.15">
      <c r="C20" s="23"/>
      <c r="D20" s="8"/>
      <c r="E20" s="8"/>
      <c r="F20" s="288"/>
      <c r="G20" s="8"/>
      <c r="H20" s="13"/>
      <c r="I20" s="13"/>
      <c r="J20" s="9"/>
      <c r="K20" s="107"/>
      <c r="M20" s="23"/>
      <c r="N20" s="8"/>
      <c r="O20" s="8"/>
      <c r="P20" s="288"/>
      <c r="Q20" s="8"/>
      <c r="R20" s="13"/>
      <c r="S20" s="13"/>
      <c r="T20" s="9"/>
      <c r="U20" s="107"/>
      <c r="X20" s="632" t="e">
        <f>SUM(X10:X18)</f>
        <v>#REF!</v>
      </c>
      <c r="Y20" s="632" t="e">
        <f>SUM(Y10:Y18)</f>
        <v>#REF!</v>
      </c>
      <c r="AA20">
        <f>SUM(AA10:AA18)</f>
        <v>0</v>
      </c>
      <c r="AB20">
        <f>SUM(AB10:AB18)</f>
        <v>0</v>
      </c>
    </row>
    <row r="21" spans="3:28" ht="15" customHeight="1" x14ac:dyDescent="0.15">
      <c r="C21" s="23"/>
      <c r="D21" s="6"/>
      <c r="E21" s="6"/>
      <c r="F21" s="287"/>
      <c r="G21" s="6"/>
      <c r="H21" s="12"/>
      <c r="I21" s="12"/>
      <c r="J21" s="10"/>
      <c r="K21" s="50"/>
      <c r="M21" s="23"/>
      <c r="N21" s="6"/>
      <c r="O21" s="6"/>
      <c r="P21" s="310"/>
      <c r="Q21" s="6"/>
      <c r="R21" s="12"/>
      <c r="S21" s="12"/>
      <c r="T21" s="10"/>
      <c r="U21" s="50"/>
    </row>
    <row r="22" spans="3:28" ht="15" customHeight="1" x14ac:dyDescent="0.15">
      <c r="C22" s="23"/>
      <c r="D22" s="8"/>
      <c r="E22" s="8"/>
      <c r="F22" s="288"/>
      <c r="G22" s="8"/>
      <c r="H22" s="13"/>
      <c r="I22" s="13"/>
      <c r="J22" s="9"/>
      <c r="K22" s="139"/>
      <c r="M22" s="23"/>
      <c r="N22" s="8"/>
      <c r="O22" s="8"/>
      <c r="P22" s="309"/>
      <c r="Q22" s="8"/>
      <c r="R22" s="13"/>
      <c r="S22" s="13"/>
      <c r="T22" s="9"/>
      <c r="U22" s="139"/>
    </row>
    <row r="23" spans="3:28" ht="15" customHeight="1" x14ac:dyDescent="0.15">
      <c r="C23" s="23"/>
      <c r="D23" s="6"/>
      <c r="E23" s="6"/>
      <c r="F23" s="287"/>
      <c r="G23" s="6"/>
      <c r="H23" s="12"/>
      <c r="I23" s="12" t="e">
        <f>IF(SUM(X20:Y20)=0,0,Y20)</f>
        <v>#REF!</v>
      </c>
      <c r="J23" s="10"/>
      <c r="K23" s="50"/>
      <c r="M23" s="23"/>
      <c r="N23" s="6"/>
      <c r="O23" s="6"/>
      <c r="P23" s="287"/>
      <c r="Q23" s="6"/>
      <c r="R23" s="12"/>
      <c r="S23" s="12">
        <f>IF(AA26+AB26=0,0,AB26)</f>
        <v>0</v>
      </c>
      <c r="T23" s="10"/>
      <c r="U23" s="50"/>
    </row>
    <row r="24" spans="3:28" ht="15" customHeight="1" x14ac:dyDescent="0.15">
      <c r="C24" s="23"/>
      <c r="D24" s="8" t="s">
        <v>102</v>
      </c>
      <c r="E24" s="8"/>
      <c r="F24" s="288"/>
      <c r="G24" s="8"/>
      <c r="H24" s="13"/>
      <c r="I24" s="13" t="e">
        <f>X20</f>
        <v>#REF!</v>
      </c>
      <c r="J24" s="9"/>
      <c r="K24" s="107"/>
      <c r="M24" s="23"/>
      <c r="N24" s="8" t="s">
        <v>102</v>
      </c>
      <c r="O24" s="8"/>
      <c r="P24" s="288"/>
      <c r="Q24" s="8"/>
      <c r="R24" s="13"/>
      <c r="S24" s="13">
        <f>AA26</f>
        <v>0</v>
      </c>
      <c r="T24" s="9"/>
      <c r="U24" s="107"/>
    </row>
    <row r="25" spans="3:28" ht="15" customHeight="1" x14ac:dyDescent="0.15">
      <c r="C25" s="23"/>
      <c r="D25" s="6"/>
      <c r="E25" s="6"/>
      <c r="F25" s="287"/>
      <c r="G25" s="6"/>
      <c r="H25" s="12"/>
      <c r="I25" s="12"/>
      <c r="J25" s="10"/>
      <c r="K25" s="50"/>
      <c r="M25" s="23"/>
      <c r="N25" s="6"/>
      <c r="O25" s="6"/>
      <c r="P25" s="287"/>
      <c r="Q25" s="6"/>
      <c r="R25" s="12"/>
      <c r="S25" s="12"/>
      <c r="T25" s="10"/>
      <c r="U25" s="50"/>
    </row>
    <row r="26" spans="3:28" ht="15" customHeight="1" x14ac:dyDescent="0.15">
      <c r="C26" s="23"/>
      <c r="D26" s="8"/>
      <c r="E26" s="8"/>
      <c r="F26" s="288"/>
      <c r="G26" s="8"/>
      <c r="H26" s="13"/>
      <c r="I26" s="13"/>
      <c r="J26" s="9"/>
      <c r="K26" s="107"/>
      <c r="M26" s="23"/>
      <c r="N26" s="8"/>
      <c r="O26" s="8"/>
      <c r="P26" s="288"/>
      <c r="Q26" s="8"/>
      <c r="R26" s="13"/>
      <c r="S26" s="13"/>
      <c r="T26" s="9"/>
      <c r="U26" s="107"/>
    </row>
    <row r="27" spans="3:28" ht="15" customHeight="1" x14ac:dyDescent="0.15">
      <c r="C27" s="23"/>
      <c r="D27" s="6"/>
      <c r="E27" s="6"/>
      <c r="F27" s="310"/>
      <c r="G27" s="6"/>
      <c r="H27" s="12"/>
      <c r="I27" s="12" t="e">
        <f>I23*VALUE(E28)</f>
        <v>#REF!</v>
      </c>
      <c r="J27" s="10"/>
      <c r="K27" s="50"/>
      <c r="M27" s="23"/>
      <c r="N27" s="6"/>
      <c r="O27" s="6"/>
      <c r="P27" s="310"/>
      <c r="Q27" s="6"/>
      <c r="R27" s="12"/>
      <c r="S27" s="12">
        <f>S23*VALUE(O28)</f>
        <v>0</v>
      </c>
      <c r="T27" s="10"/>
      <c r="U27" s="50"/>
    </row>
    <row r="28" spans="3:28" ht="15" customHeight="1" x14ac:dyDescent="0.15">
      <c r="C28" s="23"/>
      <c r="D28" s="8" t="s">
        <v>103</v>
      </c>
      <c r="E28" s="639" t="s">
        <v>782</v>
      </c>
      <c r="F28" s="309" t="e">
        <f>IF(I28&gt;0,1,0)</f>
        <v>#REF!</v>
      </c>
      <c r="G28" s="8" t="s">
        <v>99</v>
      </c>
      <c r="H28" s="13"/>
      <c r="I28" s="13" t="e">
        <f>I24*VALUE(E28)</f>
        <v>#REF!</v>
      </c>
      <c r="J28" s="9"/>
      <c r="K28" s="139"/>
      <c r="M28" s="23"/>
      <c r="N28" s="8" t="s">
        <v>103</v>
      </c>
      <c r="O28" s="8" t="str">
        <f>E28</f>
        <v>８　％</v>
      </c>
      <c r="P28" s="309">
        <f>IF(S28&gt;0,1,0)</f>
        <v>0</v>
      </c>
      <c r="Q28" s="8" t="s">
        <v>99</v>
      </c>
      <c r="R28" s="13"/>
      <c r="S28" s="13">
        <f>S24*VALUE(O28)</f>
        <v>0</v>
      </c>
      <c r="T28" s="9"/>
      <c r="U28" s="139"/>
    </row>
    <row r="29" spans="3:28" ht="15" customHeight="1" x14ac:dyDescent="0.15">
      <c r="C29" s="23"/>
      <c r="D29" s="6"/>
      <c r="E29" s="6"/>
      <c r="F29" s="287"/>
      <c r="G29" s="6"/>
      <c r="H29" s="12"/>
      <c r="I29" s="12"/>
      <c r="J29" s="10"/>
      <c r="K29" s="50"/>
      <c r="M29" s="23"/>
      <c r="N29" s="6"/>
      <c r="O29" s="6"/>
      <c r="P29" s="287"/>
      <c r="Q29" s="6"/>
      <c r="R29" s="12"/>
      <c r="S29" s="12"/>
      <c r="T29" s="10"/>
      <c r="U29" s="50"/>
    </row>
    <row r="30" spans="3:28" ht="15" customHeight="1" x14ac:dyDescent="0.15">
      <c r="C30" s="23"/>
      <c r="D30" s="8"/>
      <c r="E30" s="8"/>
      <c r="F30" s="288"/>
      <c r="G30" s="8"/>
      <c r="H30" s="13"/>
      <c r="I30" s="13"/>
      <c r="J30" s="9"/>
      <c r="K30" s="107"/>
      <c r="M30" s="23"/>
      <c r="N30" s="8"/>
      <c r="O30" s="8"/>
      <c r="P30" s="288"/>
      <c r="Q30" s="8"/>
      <c r="R30" s="13"/>
      <c r="S30" s="13"/>
      <c r="T30" s="9"/>
      <c r="U30" s="107"/>
    </row>
    <row r="31" spans="3:28" ht="15" customHeight="1" x14ac:dyDescent="0.15">
      <c r="C31" s="23"/>
      <c r="D31" s="6"/>
      <c r="E31" s="6"/>
      <c r="F31" s="287"/>
      <c r="G31" s="6"/>
      <c r="H31" s="12"/>
      <c r="I31" s="12" t="e">
        <f>I23+I27</f>
        <v>#REF!</v>
      </c>
      <c r="J31" s="10"/>
      <c r="K31" s="50"/>
      <c r="M31" s="23"/>
      <c r="N31" s="6"/>
      <c r="O31" s="6"/>
      <c r="P31" s="287"/>
      <c r="Q31" s="6"/>
      <c r="R31" s="12"/>
      <c r="S31" s="12">
        <f>S23+S27</f>
        <v>0</v>
      </c>
      <c r="T31" s="10"/>
      <c r="U31" s="50"/>
    </row>
    <row r="32" spans="3:28" ht="15" customHeight="1" x14ac:dyDescent="0.15">
      <c r="C32" s="23"/>
      <c r="D32" s="8" t="s">
        <v>104</v>
      </c>
      <c r="E32" s="8"/>
      <c r="F32" s="288"/>
      <c r="G32" s="8"/>
      <c r="H32" s="13"/>
      <c r="I32" s="13" t="e">
        <f>I24+I28</f>
        <v>#REF!</v>
      </c>
      <c r="J32" s="9"/>
      <c r="K32" s="107"/>
      <c r="M32" s="23"/>
      <c r="N32" s="8" t="s">
        <v>104</v>
      </c>
      <c r="O32" s="8"/>
      <c r="P32" s="288"/>
      <c r="Q32" s="8"/>
      <c r="R32" s="13"/>
      <c r="S32" s="13">
        <f>S24+S28</f>
        <v>0</v>
      </c>
      <c r="T32" s="9"/>
      <c r="U32" s="107"/>
    </row>
    <row r="33" spans="3:21" ht="15" customHeight="1" x14ac:dyDescent="0.15">
      <c r="C33" s="23"/>
      <c r="D33" s="6"/>
      <c r="E33" s="6"/>
      <c r="F33" s="287"/>
      <c r="G33" s="6"/>
      <c r="H33" s="12"/>
      <c r="I33" s="12"/>
      <c r="J33" s="10"/>
      <c r="K33" s="50"/>
      <c r="M33" s="23"/>
      <c r="N33" s="6"/>
      <c r="O33" s="6"/>
      <c r="P33" s="287"/>
      <c r="Q33" s="6"/>
      <c r="R33" s="12"/>
      <c r="S33" s="12"/>
      <c r="T33" s="10"/>
      <c r="U33" s="50"/>
    </row>
    <row r="34" spans="3:21" ht="15" customHeight="1" x14ac:dyDescent="0.15">
      <c r="C34" s="23"/>
      <c r="D34" s="8"/>
      <c r="E34" s="8"/>
      <c r="F34" s="288"/>
      <c r="G34" s="8"/>
      <c r="H34" s="13"/>
      <c r="I34" s="13"/>
      <c r="J34" s="9"/>
      <c r="K34" s="139"/>
      <c r="M34" s="23"/>
      <c r="N34" s="8"/>
      <c r="O34" s="8"/>
      <c r="P34" s="288"/>
      <c r="Q34" s="8"/>
      <c r="R34" s="13"/>
      <c r="S34" s="13"/>
      <c r="T34" s="9"/>
      <c r="U34" s="139"/>
    </row>
    <row r="35" spans="3:21" ht="15" customHeight="1" x14ac:dyDescent="0.15">
      <c r="C35" s="23"/>
      <c r="D35" s="6"/>
      <c r="E35" s="6"/>
      <c r="F35" s="287"/>
      <c r="G35" s="6"/>
      <c r="H35" s="12"/>
      <c r="I35" s="12"/>
      <c r="J35" s="10"/>
      <c r="K35" s="50"/>
      <c r="M35" s="23"/>
      <c r="N35" s="6"/>
      <c r="O35" s="6"/>
      <c r="P35" s="287"/>
      <c r="Q35" s="6"/>
      <c r="R35" s="12"/>
      <c r="S35" s="12"/>
      <c r="T35" s="10"/>
      <c r="U35" s="50"/>
    </row>
    <row r="36" spans="3:21" ht="15" customHeight="1" x14ac:dyDescent="0.15">
      <c r="C36" s="23"/>
      <c r="D36" s="8"/>
      <c r="E36" s="8"/>
      <c r="F36" s="288"/>
      <c r="G36" s="8"/>
      <c r="H36" s="13"/>
      <c r="I36" s="13"/>
      <c r="J36" s="9"/>
      <c r="K36" s="107"/>
      <c r="M36" s="23"/>
      <c r="N36" s="8"/>
      <c r="O36" s="8"/>
      <c r="P36" s="288"/>
      <c r="Q36" s="8"/>
      <c r="R36" s="13"/>
      <c r="S36" s="13"/>
      <c r="T36" s="9"/>
      <c r="U36" s="107"/>
    </row>
    <row r="37" spans="3:21" ht="15" customHeight="1" x14ac:dyDescent="0.15">
      <c r="C37" s="23"/>
      <c r="D37" s="6"/>
      <c r="E37" s="6"/>
      <c r="F37" s="287"/>
      <c r="G37" s="6"/>
      <c r="H37" s="12"/>
      <c r="I37" s="12"/>
      <c r="J37" s="10"/>
      <c r="K37" s="50"/>
      <c r="M37" s="23"/>
      <c r="N37" s="6"/>
      <c r="O37" s="6"/>
      <c r="P37" s="287"/>
      <c r="Q37" s="6"/>
      <c r="R37" s="12"/>
      <c r="S37" s="12"/>
      <c r="T37" s="10"/>
      <c r="U37" s="50"/>
    </row>
    <row r="38" spans="3:21" ht="15" customHeight="1" x14ac:dyDescent="0.15">
      <c r="C38" s="23"/>
      <c r="D38" s="8"/>
      <c r="E38" s="8"/>
      <c r="F38" s="288"/>
      <c r="G38" s="8"/>
      <c r="H38" s="13"/>
      <c r="I38" s="13"/>
      <c r="J38" s="9"/>
      <c r="K38" s="107"/>
      <c r="M38" s="23"/>
      <c r="N38" s="8"/>
      <c r="O38" s="8"/>
      <c r="P38" s="288"/>
      <c r="Q38" s="8"/>
      <c r="R38" s="13"/>
      <c r="S38" s="13"/>
      <c r="T38" s="9"/>
      <c r="U38" s="107"/>
    </row>
    <row r="39" spans="3:21" ht="15" customHeight="1" x14ac:dyDescent="0.15">
      <c r="C39" s="23"/>
      <c r="D39" s="6"/>
      <c r="E39" s="6"/>
      <c r="F39" s="287"/>
      <c r="G39" s="6"/>
      <c r="H39" s="12"/>
      <c r="I39" s="12"/>
      <c r="J39" s="10"/>
      <c r="K39" s="50"/>
      <c r="M39" s="23"/>
      <c r="N39" s="6"/>
      <c r="O39" s="6"/>
      <c r="P39" s="287"/>
      <c r="Q39" s="6"/>
      <c r="R39" s="12"/>
      <c r="S39" s="12"/>
      <c r="T39" s="10"/>
      <c r="U39" s="50"/>
    </row>
    <row r="40" spans="3:21" ht="15" customHeight="1" x14ac:dyDescent="0.15">
      <c r="C40" s="23"/>
      <c r="D40" s="8"/>
      <c r="E40" s="8"/>
      <c r="F40" s="288"/>
      <c r="G40" s="8"/>
      <c r="H40" s="13"/>
      <c r="I40" s="13"/>
      <c r="J40" s="9"/>
      <c r="K40" s="139"/>
      <c r="M40" s="23"/>
      <c r="N40" s="8"/>
      <c r="O40" s="8"/>
      <c r="P40" s="288"/>
      <c r="Q40" s="8"/>
      <c r="R40" s="13"/>
      <c r="S40" s="13"/>
      <c r="T40" s="9"/>
      <c r="U40" s="139"/>
    </row>
    <row r="41" spans="3:21" ht="15" customHeight="1" x14ac:dyDescent="0.15">
      <c r="C41" s="23"/>
      <c r="D41" s="6"/>
      <c r="E41" s="6"/>
      <c r="F41" s="287"/>
      <c r="G41" s="6"/>
      <c r="H41" s="12"/>
      <c r="I41" s="12"/>
      <c r="J41" s="10"/>
      <c r="K41" s="50"/>
      <c r="M41" s="23"/>
      <c r="N41" s="6"/>
      <c r="O41" s="6"/>
      <c r="P41" s="287"/>
      <c r="Q41" s="6"/>
      <c r="R41" s="12"/>
      <c r="S41" s="12"/>
      <c r="T41" s="10"/>
      <c r="U41" s="50"/>
    </row>
    <row r="42" spans="3:21" ht="15" customHeight="1" x14ac:dyDescent="0.15">
      <c r="C42" s="23"/>
      <c r="D42" s="8"/>
      <c r="E42" s="8"/>
      <c r="F42" s="288"/>
      <c r="G42" s="8"/>
      <c r="H42" s="13"/>
      <c r="I42" s="13"/>
      <c r="J42" s="9"/>
      <c r="K42" s="107"/>
      <c r="M42" s="23"/>
      <c r="N42" s="8"/>
      <c r="O42" s="8"/>
      <c r="P42" s="288"/>
      <c r="Q42" s="8"/>
      <c r="R42" s="13"/>
      <c r="S42" s="13"/>
      <c r="T42" s="9"/>
      <c r="U42" s="107"/>
    </row>
    <row r="43" spans="3:21" ht="15" customHeight="1" x14ac:dyDescent="0.15">
      <c r="C43" s="23"/>
      <c r="D43" s="6"/>
      <c r="E43" s="6"/>
      <c r="F43" s="287"/>
      <c r="G43" s="6"/>
      <c r="H43" s="12"/>
      <c r="I43" s="12"/>
      <c r="J43" s="10"/>
      <c r="K43" s="50"/>
      <c r="M43" s="23"/>
      <c r="N43" s="6"/>
      <c r="O43" s="6"/>
      <c r="P43" s="287"/>
      <c r="Q43" s="6"/>
      <c r="R43" s="12"/>
      <c r="S43" s="12"/>
      <c r="T43" s="10"/>
      <c r="U43" s="50"/>
    </row>
    <row r="44" spans="3:21" ht="15" customHeight="1" x14ac:dyDescent="0.15">
      <c r="C44" s="23"/>
      <c r="D44" s="8"/>
      <c r="E44" s="8"/>
      <c r="F44" s="288"/>
      <c r="G44" s="8"/>
      <c r="H44" s="13"/>
      <c r="I44" s="13"/>
      <c r="J44" s="9"/>
      <c r="K44" s="107"/>
      <c r="M44" s="23"/>
      <c r="N44" s="8"/>
      <c r="O44" s="8"/>
      <c r="P44" s="288"/>
      <c r="Q44" s="8"/>
      <c r="R44" s="13"/>
      <c r="S44" s="13"/>
      <c r="T44" s="9"/>
      <c r="U44" s="107"/>
    </row>
    <row r="45" spans="3:21" ht="15" customHeight="1" x14ac:dyDescent="0.15">
      <c r="C45" s="23"/>
      <c r="D45" s="6"/>
      <c r="E45" s="6"/>
      <c r="F45" s="287"/>
      <c r="G45" s="6"/>
      <c r="H45" s="12"/>
      <c r="I45" s="12"/>
      <c r="J45" s="10"/>
      <c r="K45" s="50"/>
      <c r="M45" s="23"/>
      <c r="N45" s="6"/>
      <c r="O45" s="6"/>
      <c r="P45" s="287"/>
      <c r="Q45" s="6"/>
      <c r="R45" s="12"/>
      <c r="S45" s="12"/>
      <c r="T45" s="10"/>
      <c r="U45" s="50"/>
    </row>
    <row r="46" spans="3:21" ht="15" customHeight="1" x14ac:dyDescent="0.15">
      <c r="C46" s="23"/>
      <c r="D46" s="8"/>
      <c r="E46" s="8"/>
      <c r="F46" s="288"/>
      <c r="G46" s="8"/>
      <c r="H46" s="13"/>
      <c r="I46" s="13"/>
      <c r="J46" s="9"/>
      <c r="K46" s="139"/>
      <c r="M46" s="23"/>
      <c r="N46" s="8"/>
      <c r="O46" s="8"/>
      <c r="P46" s="288"/>
      <c r="Q46" s="8"/>
      <c r="R46" s="13"/>
      <c r="S46" s="13"/>
      <c r="T46" s="9"/>
      <c r="U46" s="139"/>
    </row>
    <row r="47" spans="3:21" ht="15" customHeight="1" x14ac:dyDescent="0.15">
      <c r="C47" s="23"/>
      <c r="D47" s="6"/>
      <c r="E47" s="6"/>
      <c r="F47" s="287"/>
      <c r="G47" s="6"/>
      <c r="H47" s="12"/>
      <c r="I47" s="12"/>
      <c r="J47" s="10"/>
      <c r="K47" s="50"/>
      <c r="M47" s="23"/>
      <c r="N47" s="6"/>
      <c r="O47" s="6"/>
      <c r="P47" s="287"/>
      <c r="Q47" s="6"/>
      <c r="R47" s="12"/>
      <c r="S47" s="12"/>
      <c r="T47" s="10"/>
      <c r="U47" s="50"/>
    </row>
    <row r="48" spans="3:21" ht="15" customHeight="1" x14ac:dyDescent="0.15">
      <c r="C48" s="23"/>
      <c r="D48" s="8"/>
      <c r="E48" s="8"/>
      <c r="F48" s="288"/>
      <c r="G48" s="8"/>
      <c r="H48" s="13"/>
      <c r="I48" s="13"/>
      <c r="J48" s="9"/>
      <c r="K48" s="107"/>
      <c r="M48" s="23"/>
      <c r="N48" s="8"/>
      <c r="O48" s="8"/>
      <c r="P48" s="288"/>
      <c r="Q48" s="8"/>
      <c r="R48" s="13"/>
      <c r="S48" s="13"/>
      <c r="T48" s="9"/>
      <c r="U48" s="107"/>
    </row>
    <row r="49" spans="3:21" ht="15" customHeight="1" x14ac:dyDescent="0.15">
      <c r="C49" s="23"/>
      <c r="D49" s="6"/>
      <c r="E49" s="6"/>
      <c r="F49" s="287"/>
      <c r="G49" s="6"/>
      <c r="H49" s="12"/>
      <c r="I49" s="12"/>
      <c r="J49" s="10"/>
      <c r="K49" s="50"/>
      <c r="M49" s="23"/>
      <c r="N49" s="6"/>
      <c r="O49" s="6"/>
      <c r="P49" s="287"/>
      <c r="Q49" s="6"/>
      <c r="R49" s="12"/>
      <c r="S49" s="12"/>
      <c r="T49" s="10"/>
      <c r="U49" s="50"/>
    </row>
    <row r="50" spans="3:21" ht="15" customHeight="1" x14ac:dyDescent="0.15">
      <c r="C50" s="23"/>
      <c r="D50" s="8"/>
      <c r="E50" s="8"/>
      <c r="F50" s="288"/>
      <c r="G50" s="8"/>
      <c r="H50" s="13"/>
      <c r="I50" s="13"/>
      <c r="J50" s="9"/>
      <c r="K50" s="107"/>
      <c r="M50" s="23"/>
      <c r="N50" s="8"/>
      <c r="O50" s="8"/>
      <c r="P50" s="288"/>
      <c r="Q50" s="8"/>
      <c r="R50" s="13"/>
      <c r="S50" s="13"/>
      <c r="T50" s="9"/>
      <c r="U50" s="107"/>
    </row>
    <row r="51" spans="3:21" ht="15" customHeight="1" x14ac:dyDescent="0.15">
      <c r="C51" s="23"/>
      <c r="D51" s="6"/>
      <c r="E51" s="6"/>
      <c r="F51" s="287"/>
      <c r="G51" s="6"/>
      <c r="H51" s="12"/>
      <c r="I51" s="12"/>
      <c r="J51" s="10"/>
      <c r="K51" s="50"/>
      <c r="M51" s="23"/>
      <c r="N51" s="6"/>
      <c r="O51" s="6"/>
      <c r="P51" s="287"/>
      <c r="Q51" s="6"/>
      <c r="R51" s="12"/>
      <c r="S51" s="12"/>
      <c r="T51" s="10"/>
      <c r="U51" s="50"/>
    </row>
    <row r="52" spans="3:21" ht="15" customHeight="1" x14ac:dyDescent="0.15">
      <c r="C52" s="23"/>
      <c r="D52" s="8"/>
      <c r="E52" s="8"/>
      <c r="F52" s="288"/>
      <c r="G52" s="8"/>
      <c r="H52" s="13"/>
      <c r="I52" s="13"/>
      <c r="J52" s="9"/>
      <c r="K52" s="139"/>
      <c r="M52" s="23"/>
      <c r="N52" s="8"/>
      <c r="O52" s="8"/>
      <c r="P52" s="288"/>
      <c r="Q52" s="8"/>
      <c r="R52" s="13"/>
      <c r="S52" s="13"/>
      <c r="T52" s="9"/>
      <c r="U52" s="139"/>
    </row>
    <row r="53" spans="3:21" ht="15" customHeight="1" x14ac:dyDescent="0.15">
      <c r="C53" s="23"/>
      <c r="D53" s="6"/>
      <c r="E53" s="6"/>
      <c r="F53" s="287"/>
      <c r="G53" s="6"/>
      <c r="H53" s="12"/>
      <c r="I53" s="12"/>
      <c r="J53" s="10"/>
      <c r="K53" s="50"/>
      <c r="M53" s="23"/>
      <c r="N53" s="6"/>
      <c r="O53" s="6"/>
      <c r="P53" s="287"/>
      <c r="Q53" s="6"/>
      <c r="R53" s="12"/>
      <c r="S53" s="12"/>
      <c r="T53" s="10"/>
      <c r="U53" s="50"/>
    </row>
    <row r="54" spans="3:21" ht="15" customHeight="1" x14ac:dyDescent="0.15">
      <c r="C54" s="23"/>
      <c r="D54" s="8"/>
      <c r="E54" s="8"/>
      <c r="F54" s="288"/>
      <c r="G54" s="8"/>
      <c r="H54" s="13"/>
      <c r="I54" s="13"/>
      <c r="J54" s="9"/>
      <c r="K54" s="107"/>
      <c r="M54" s="23"/>
      <c r="N54" s="8"/>
      <c r="O54" s="8"/>
      <c r="P54" s="288"/>
      <c r="Q54" s="8"/>
      <c r="R54" s="13"/>
      <c r="S54" s="13"/>
      <c r="T54" s="9"/>
      <c r="U54" s="107"/>
    </row>
    <row r="55" spans="3:21" ht="15" customHeight="1" x14ac:dyDescent="0.15">
      <c r="C55" s="23"/>
      <c r="D55" s="6"/>
      <c r="E55" s="6"/>
      <c r="F55" s="287"/>
      <c r="G55" s="6"/>
      <c r="H55" s="12"/>
      <c r="I55" s="12"/>
      <c r="J55" s="10"/>
      <c r="K55" s="50"/>
      <c r="M55" s="23"/>
      <c r="N55" s="6"/>
      <c r="O55" s="6"/>
      <c r="P55" s="287"/>
      <c r="Q55" s="6"/>
      <c r="R55" s="12"/>
      <c r="S55" s="12"/>
      <c r="T55" s="10"/>
      <c r="U55" s="50"/>
    </row>
    <row r="56" spans="3:21" ht="15" customHeight="1" x14ac:dyDescent="0.15">
      <c r="C56" s="23"/>
      <c r="D56" s="8"/>
      <c r="E56" s="8"/>
      <c r="F56" s="288"/>
      <c r="G56" s="8"/>
      <c r="H56" s="13"/>
      <c r="I56" s="13"/>
      <c r="J56" s="9"/>
      <c r="K56" s="107"/>
      <c r="M56" s="23"/>
      <c r="N56" s="8"/>
      <c r="O56" s="8"/>
      <c r="P56" s="288"/>
      <c r="Q56" s="8"/>
      <c r="R56" s="13"/>
      <c r="S56" s="13"/>
      <c r="T56" s="9"/>
      <c r="U56" s="107"/>
    </row>
    <row r="57" spans="3:21" ht="15" customHeight="1" x14ac:dyDescent="0.15">
      <c r="C57" s="23"/>
      <c r="D57" s="6"/>
      <c r="E57" s="6"/>
      <c r="F57" s="287"/>
      <c r="G57" s="6"/>
      <c r="H57" s="12"/>
      <c r="I57" s="12"/>
      <c r="J57" s="10"/>
      <c r="K57" s="50"/>
      <c r="M57" s="23"/>
      <c r="N57" s="6"/>
      <c r="O57" s="6"/>
      <c r="P57" s="287"/>
      <c r="Q57" s="6"/>
      <c r="R57" s="12"/>
      <c r="S57" s="12"/>
      <c r="T57" s="10"/>
      <c r="U57" s="50"/>
    </row>
    <row r="58" spans="3:21" ht="15" customHeight="1" x14ac:dyDescent="0.15">
      <c r="C58" s="23"/>
      <c r="D58" s="8"/>
      <c r="E58" s="8"/>
      <c r="F58" s="288"/>
      <c r="G58" s="8"/>
      <c r="H58" s="13"/>
      <c r="I58" s="13"/>
      <c r="J58" s="9"/>
      <c r="K58" s="139"/>
      <c r="M58" s="23"/>
      <c r="N58" s="8"/>
      <c r="O58" s="8"/>
      <c r="P58" s="288"/>
      <c r="Q58" s="8"/>
      <c r="R58" s="13"/>
      <c r="S58" s="13"/>
      <c r="T58" s="9"/>
      <c r="U58" s="139"/>
    </row>
    <row r="59" spans="3:21" ht="15" customHeight="1" x14ac:dyDescent="0.15">
      <c r="C59" s="23"/>
      <c r="D59" s="6"/>
      <c r="E59" s="6"/>
      <c r="F59" s="287"/>
      <c r="G59" s="6"/>
      <c r="H59" s="12"/>
      <c r="I59" s="12"/>
      <c r="J59" s="10"/>
      <c r="K59" s="50"/>
      <c r="M59" s="23"/>
      <c r="N59" s="6"/>
      <c r="O59" s="6"/>
      <c r="P59" s="287"/>
      <c r="Q59" s="6"/>
      <c r="R59" s="12"/>
      <c r="S59" s="12"/>
      <c r="T59" s="10"/>
      <c r="U59" s="50"/>
    </row>
    <row r="60" spans="3:21" ht="15" customHeight="1" x14ac:dyDescent="0.15">
      <c r="C60" s="23"/>
      <c r="D60" s="8"/>
      <c r="E60" s="8"/>
      <c r="F60" s="288"/>
      <c r="G60" s="8"/>
      <c r="H60" s="13"/>
      <c r="I60" s="13"/>
      <c r="J60" s="9"/>
      <c r="K60" s="107"/>
      <c r="M60" s="23"/>
      <c r="N60" s="8"/>
      <c r="O60" s="8"/>
      <c r="P60" s="288"/>
      <c r="Q60" s="8"/>
      <c r="R60" s="13"/>
      <c r="S60" s="13"/>
      <c r="T60" s="9"/>
      <c r="U60" s="107"/>
    </row>
    <row r="61" spans="3:21" ht="15" customHeight="1" x14ac:dyDescent="0.15">
      <c r="C61" s="23"/>
      <c r="D61" s="6"/>
      <c r="E61" s="6"/>
      <c r="F61" s="287"/>
      <c r="G61" s="6"/>
      <c r="H61" s="12"/>
      <c r="I61" s="12"/>
      <c r="J61" s="10"/>
      <c r="K61" s="50"/>
      <c r="M61" s="23"/>
      <c r="N61" s="6"/>
      <c r="O61" s="6"/>
      <c r="P61" s="287"/>
      <c r="Q61" s="6"/>
      <c r="R61" s="12"/>
      <c r="S61" s="12"/>
      <c r="T61" s="10"/>
      <c r="U61" s="50"/>
    </row>
    <row r="62" spans="3:21" ht="15" customHeight="1" x14ac:dyDescent="0.15">
      <c r="C62" s="23"/>
      <c r="D62" s="8"/>
      <c r="E62" s="8"/>
      <c r="F62" s="288"/>
      <c r="G62" s="8"/>
      <c r="H62" s="13"/>
      <c r="I62" s="13"/>
      <c r="J62" s="9"/>
      <c r="K62" s="107"/>
      <c r="M62" s="23"/>
      <c r="N62" s="8"/>
      <c r="O62" s="8"/>
      <c r="P62" s="288"/>
      <c r="Q62" s="8"/>
      <c r="R62" s="13"/>
      <c r="S62" s="13"/>
      <c r="T62" s="9"/>
      <c r="U62" s="107"/>
    </row>
    <row r="63" spans="3:21" ht="15" customHeight="1" x14ac:dyDescent="0.15">
      <c r="C63" s="23"/>
      <c r="D63" s="6"/>
      <c r="E63" s="6"/>
      <c r="F63" s="287"/>
      <c r="G63" s="6"/>
      <c r="H63" s="12"/>
      <c r="I63" s="12"/>
      <c r="J63" s="10"/>
      <c r="K63" s="50"/>
      <c r="M63" s="23"/>
      <c r="N63" s="6"/>
      <c r="O63" s="6"/>
      <c r="P63" s="287"/>
      <c r="Q63" s="6"/>
      <c r="R63" s="12"/>
      <c r="S63" s="12"/>
      <c r="T63" s="10"/>
      <c r="U63" s="50"/>
    </row>
    <row r="64" spans="3:21" ht="15" customHeight="1" x14ac:dyDescent="0.15">
      <c r="C64" s="23"/>
      <c r="D64" s="8"/>
      <c r="E64" s="8"/>
      <c r="F64" s="288"/>
      <c r="G64" s="8"/>
      <c r="H64" s="13"/>
      <c r="I64" s="13"/>
      <c r="J64" s="9"/>
      <c r="K64" s="107"/>
      <c r="M64" s="23"/>
      <c r="N64" s="8"/>
      <c r="O64" s="8"/>
      <c r="P64" s="288"/>
      <c r="Q64" s="8"/>
      <c r="R64" s="13"/>
      <c r="S64" s="13"/>
      <c r="T64" s="9"/>
      <c r="U64" s="107"/>
    </row>
    <row r="65" spans="3:21" ht="15" customHeight="1" x14ac:dyDescent="0.15">
      <c r="C65" s="23"/>
      <c r="D65" s="6"/>
      <c r="E65" s="6"/>
      <c r="F65" s="287"/>
      <c r="G65" s="6"/>
      <c r="H65" s="12"/>
      <c r="I65" s="12"/>
      <c r="J65" s="10"/>
      <c r="K65" s="50"/>
      <c r="M65" s="23"/>
      <c r="N65" s="6"/>
      <c r="O65" s="6"/>
      <c r="P65" s="287"/>
      <c r="Q65" s="6"/>
      <c r="R65" s="12"/>
      <c r="S65" s="12"/>
      <c r="T65" s="10"/>
      <c r="U65" s="50"/>
    </row>
    <row r="66" spans="3:21" ht="15" customHeight="1" x14ac:dyDescent="0.15">
      <c r="C66" s="23"/>
      <c r="D66" s="8"/>
      <c r="E66" s="8"/>
      <c r="F66" s="288"/>
      <c r="G66" s="8"/>
      <c r="H66" s="13"/>
      <c r="I66" s="13"/>
      <c r="J66" s="9"/>
      <c r="K66" s="107"/>
      <c r="M66" s="23"/>
      <c r="N66" s="8"/>
      <c r="O66" s="8"/>
      <c r="P66" s="288"/>
      <c r="Q66" s="8"/>
      <c r="R66" s="13"/>
      <c r="S66" s="13"/>
      <c r="T66" s="9"/>
      <c r="U66" s="107"/>
    </row>
    <row r="67" spans="3:21" ht="15" customHeight="1" x14ac:dyDescent="0.15">
      <c r="C67" s="23"/>
      <c r="D67" s="6"/>
      <c r="E67" s="6"/>
      <c r="F67" s="287"/>
      <c r="G67" s="6"/>
      <c r="H67" s="12"/>
      <c r="I67" s="12"/>
      <c r="J67" s="10"/>
      <c r="K67" s="50"/>
      <c r="M67" s="23"/>
      <c r="N67" s="6"/>
      <c r="O67" s="6"/>
      <c r="P67" s="287"/>
      <c r="Q67" s="6"/>
      <c r="R67" s="12"/>
      <c r="S67" s="12"/>
      <c r="T67" s="10"/>
      <c r="U67" s="50"/>
    </row>
    <row r="68" spans="3:21" ht="15" customHeight="1" x14ac:dyDescent="0.15">
      <c r="C68" s="23"/>
      <c r="D68" s="8"/>
      <c r="E68" s="8"/>
      <c r="F68" s="288"/>
      <c r="G68" s="8"/>
      <c r="H68" s="13"/>
      <c r="I68" s="13"/>
      <c r="J68" s="9"/>
      <c r="K68" s="107"/>
      <c r="M68" s="23"/>
      <c r="N68" s="8"/>
      <c r="O68" s="8"/>
      <c r="P68" s="288"/>
      <c r="Q68" s="8"/>
      <c r="R68" s="13"/>
      <c r="S68" s="13"/>
      <c r="T68" s="9"/>
      <c r="U68" s="107"/>
    </row>
    <row r="69" spans="3:21" ht="15" customHeight="1" x14ac:dyDescent="0.15">
      <c r="C69" s="23"/>
      <c r="D69" s="6"/>
      <c r="E69" s="6"/>
      <c r="F69" s="287"/>
      <c r="G69" s="6"/>
      <c r="H69" s="12"/>
      <c r="I69" s="12"/>
      <c r="J69" s="10"/>
      <c r="K69" s="50"/>
      <c r="M69" s="23"/>
      <c r="N69" s="6"/>
      <c r="O69" s="6"/>
      <c r="P69" s="287"/>
      <c r="Q69" s="6"/>
      <c r="R69" s="12"/>
      <c r="S69" s="12"/>
      <c r="T69" s="10"/>
      <c r="U69" s="50"/>
    </row>
    <row r="70" spans="3:21" ht="15" customHeight="1" thickBot="1" x14ac:dyDescent="0.2">
      <c r="C70" s="28"/>
      <c r="D70" s="29"/>
      <c r="E70" s="29"/>
      <c r="F70" s="289"/>
      <c r="G70" s="29"/>
      <c r="H70" s="31"/>
      <c r="I70" s="31"/>
      <c r="J70" s="30"/>
      <c r="K70" s="55"/>
      <c r="M70" s="28"/>
      <c r="N70" s="29"/>
      <c r="O70" s="29"/>
      <c r="P70" s="289"/>
      <c r="Q70" s="29"/>
      <c r="R70" s="31"/>
      <c r="S70" s="31"/>
      <c r="T70" s="30"/>
      <c r="U70" s="55"/>
    </row>
  </sheetData>
  <mergeCells count="4">
    <mergeCell ref="T6:T8"/>
    <mergeCell ref="C6:C8"/>
    <mergeCell ref="M6:M8"/>
    <mergeCell ref="J6:J8"/>
  </mergeCells>
  <phoneticPr fontId="12"/>
  <pageMargins left="0.70866141732283472" right="0.19685039370078741" top="0.78740157480314965" bottom="0.39370078740157483" header="0" footer="0"/>
  <pageSetup paperSize="9" scale="78" orientation="portrait" blackAndWhite="1" useFirstPageNumber="1" r:id="rId1"/>
  <headerFooter alignWithMargins="0">
    <oddFooter xml:space="preserve">&amp;C- &amp;P -
</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ransitionEvaluation="1"/>
  <dimension ref="A1:AD143"/>
  <sheetViews>
    <sheetView view="pageBreakPreview" topLeftCell="N1" zoomScale="95" zoomScaleNormal="90" zoomScaleSheetLayoutView="40" workbookViewId="0">
      <selection activeCell="O5" sqref="O5"/>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5.625" customWidth="1"/>
    <col min="18" max="18" width="12.125" customWidth="1"/>
    <col min="19" max="19" width="4.625" customWidth="1"/>
    <col min="20" max="20" width="10.625" customWidth="1"/>
    <col min="21" max="21" width="15.625" customWidth="1"/>
    <col min="22" max="22" width="8.625" customWidth="1"/>
    <col min="23" max="23" width="16.625" customWidth="1"/>
    <col min="26" max="26" width="9.625" style="114" customWidth="1"/>
    <col min="27" max="29" width="9.625" customWidth="1"/>
  </cols>
  <sheetData>
    <row r="1" spans="1:30" x14ac:dyDescent="0.15">
      <c r="D1" t="s">
        <v>307</v>
      </c>
      <c r="F1" t="s">
        <v>308</v>
      </c>
    </row>
    <row r="2" spans="1:30" x14ac:dyDescent="0.15">
      <c r="D2" t="s">
        <v>272</v>
      </c>
      <c r="F2" s="224" t="s">
        <v>267</v>
      </c>
    </row>
    <row r="3" spans="1:30" x14ac:dyDescent="0.15">
      <c r="D3" t="s">
        <v>274</v>
      </c>
      <c r="F3" s="224" t="s">
        <v>271</v>
      </c>
    </row>
    <row r="4" spans="1:30" ht="14.25" thickBot="1" x14ac:dyDescent="0.2">
      <c r="C4" t="s">
        <v>214</v>
      </c>
      <c r="D4" t="s">
        <v>273</v>
      </c>
      <c r="F4" s="224" t="s">
        <v>268</v>
      </c>
      <c r="O4" t="s">
        <v>214</v>
      </c>
      <c r="AC4" t="s">
        <v>89</v>
      </c>
    </row>
    <row r="5" spans="1:30" x14ac:dyDescent="0.15">
      <c r="B5" s="100" t="s">
        <v>384</v>
      </c>
      <c r="N5" t="s">
        <v>215</v>
      </c>
      <c r="O5" s="16"/>
      <c r="P5" s="17"/>
      <c r="Q5" s="17"/>
      <c r="R5" s="18"/>
      <c r="S5" s="17"/>
      <c r="T5" s="18"/>
      <c r="U5" s="18"/>
      <c r="V5" s="18"/>
      <c r="W5" s="19"/>
      <c r="Z5" s="100" t="s">
        <v>216</v>
      </c>
      <c r="AA5">
        <f ca="1">SUM(INDIRECT(AD$6))</f>
        <v>0</v>
      </c>
      <c r="AB5">
        <v>1</v>
      </c>
      <c r="AC5" t="s">
        <v>219</v>
      </c>
      <c r="AD5" t="s">
        <v>217</v>
      </c>
    </row>
    <row r="6" spans="1:30" ht="21" customHeight="1" x14ac:dyDescent="0.2">
      <c r="N6" s="284"/>
      <c r="O6" s="457" t="s">
        <v>394</v>
      </c>
      <c r="P6" s="25"/>
      <c r="Q6" s="25"/>
      <c r="R6" s="25"/>
      <c r="S6" s="25"/>
      <c r="T6" s="25"/>
      <c r="U6" s="25"/>
      <c r="V6" s="25"/>
      <c r="W6" s="26"/>
      <c r="Z6" s="100" t="s">
        <v>218</v>
      </c>
      <c r="AA6">
        <f ca="1">SUM(INDIRECT(AD$7))</f>
        <v>851080</v>
      </c>
      <c r="AB6">
        <v>2</v>
      </c>
      <c r="AC6" t="s">
        <v>104</v>
      </c>
      <c r="AD6" t="str">
        <f>"AB10..AB"&amp;FIXED(AA7,0,TRUE)</f>
        <v>AB10..AB143</v>
      </c>
    </row>
    <row r="7" spans="1:30" ht="18.75" x14ac:dyDescent="0.2">
      <c r="C7" s="456" t="s">
        <v>395</v>
      </c>
      <c r="D7" s="101"/>
      <c r="E7" s="101"/>
      <c r="F7" s="101"/>
      <c r="G7" s="101"/>
      <c r="H7" s="101"/>
      <c r="I7" s="101"/>
      <c r="N7" s="285"/>
      <c r="O7" s="283"/>
      <c r="P7" s="20"/>
      <c r="Q7" s="458" t="str">
        <f ca="1">IF(OR(AC8=0,TRUNC(AA5,-3)+TRUNC(AA6,-3)=0),"",TRUNC(AA5,-3))</f>
        <v/>
      </c>
      <c r="R7" s="21"/>
      <c r="S7" s="20"/>
      <c r="T7" s="21"/>
      <c r="U7" s="21"/>
      <c r="V7" s="21"/>
      <c r="W7" s="104"/>
      <c r="Z7" s="100" t="s">
        <v>221</v>
      </c>
      <c r="AA7">
        <v>143</v>
      </c>
      <c r="AB7">
        <v>3</v>
      </c>
      <c r="AC7" t="s">
        <v>230</v>
      </c>
      <c r="AD7" t="str">
        <f>"Z10..Z"&amp;FIXED(AA7,0,TRUE)</f>
        <v>Z10..Z143</v>
      </c>
    </row>
    <row r="8" spans="1:30" ht="18.75" customHeight="1" thickBot="1" x14ac:dyDescent="0.25">
      <c r="A8" t="b">
        <f>SUM(F13:F73)&gt;0</f>
        <v>1</v>
      </c>
      <c r="B8">
        <f>SUM(A8:A143)</f>
        <v>1</v>
      </c>
      <c r="I8" s="111" t="str">
        <f>"( "&amp;FIXED($A8,0)&amp;" ／ "&amp;FIXED($B$8,0)&amp;" )"</f>
        <v>( 1 ／ 1 )</v>
      </c>
      <c r="N8" s="285"/>
      <c r="O8" s="283"/>
      <c r="P8" s="20"/>
      <c r="Q8" s="459">
        <f ca="1">TRUNC(AA6,-3)</f>
        <v>851000</v>
      </c>
      <c r="R8" s="21"/>
      <c r="S8" s="20"/>
      <c r="T8" s="21"/>
      <c r="U8" s="21"/>
      <c r="V8" s="21"/>
      <c r="W8" s="112" t="str">
        <f>I8</f>
        <v>( 1 ／ 1 )</v>
      </c>
      <c r="AC8">
        <f>鏡!H2-1</f>
        <v>0</v>
      </c>
      <c r="AD8" t="str">
        <f>"A5..A"&amp;FIXED(AA7,0,TRUE)</f>
        <v>A5..A143</v>
      </c>
    </row>
    <row r="9" spans="1:30" ht="13.5" customHeight="1" x14ac:dyDescent="0.15">
      <c r="C9" s="16"/>
      <c r="D9" s="102"/>
      <c r="E9" s="102"/>
      <c r="F9" s="18"/>
      <c r="G9" s="102"/>
      <c r="H9" s="102"/>
      <c r="I9" s="48"/>
      <c r="O9" s="756" t="s">
        <v>258</v>
      </c>
      <c r="P9" s="4"/>
      <c r="Q9" s="4"/>
      <c r="R9" s="5"/>
      <c r="S9" s="4"/>
      <c r="T9" s="14" t="s">
        <v>88</v>
      </c>
      <c r="U9" s="15"/>
      <c r="V9" s="755" t="s">
        <v>257</v>
      </c>
      <c r="W9" s="105"/>
    </row>
    <row r="10" spans="1:30"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Z10" t="str">
        <f>IF(AC8=0,"当初","出来高")</f>
        <v>当初</v>
      </c>
      <c r="AB10" t="s">
        <v>216</v>
      </c>
    </row>
    <row r="11" spans="1:30" ht="14.25" thickBot="1" x14ac:dyDescent="0.2">
      <c r="C11" s="71"/>
      <c r="D11" s="40"/>
      <c r="E11" s="40"/>
      <c r="F11" s="36"/>
      <c r="G11" s="40"/>
      <c r="H11" s="40"/>
      <c r="I11" s="52"/>
      <c r="K11" s="1" t="s">
        <v>259</v>
      </c>
      <c r="O11" s="758"/>
      <c r="P11" s="39"/>
      <c r="Q11" s="39"/>
      <c r="R11" s="40"/>
      <c r="S11" s="39"/>
      <c r="T11" s="56" t="s">
        <v>96</v>
      </c>
      <c r="U11" s="56" t="s">
        <v>96</v>
      </c>
      <c r="V11" s="750"/>
      <c r="W11" s="52"/>
      <c r="Z11"/>
    </row>
    <row r="12" spans="1:30" ht="15" customHeight="1" thickTop="1" x14ac:dyDescent="0.15">
      <c r="C12" s="182"/>
      <c r="D12" s="212"/>
      <c r="E12" s="184"/>
      <c r="F12" s="227"/>
      <c r="G12" s="297" t="str">
        <f ca="1">IF(OR(AC$8=0,L12="b"),"",IF(L12="l",0,"("&amp;FIXED(-F12,K13,0)&amp;M12))</f>
        <v/>
      </c>
      <c r="H12" s="183"/>
      <c r="I12" s="185"/>
      <c r="L12" t="str">
        <f ca="1">CELL("type",F12)</f>
        <v>b</v>
      </c>
      <c r="M12" t="str">
        <f>")"&amp;REPT(" ",2-K13)&amp;IF(K13=0," ","")</f>
        <v xml:space="preserve">) </v>
      </c>
      <c r="O12" s="253"/>
      <c r="P12" s="207">
        <f>D12</f>
        <v>0</v>
      </c>
      <c r="Q12" s="207">
        <f>E12</f>
        <v>0</v>
      </c>
      <c r="R12" s="300" t="str">
        <f ca="1">G12</f>
        <v/>
      </c>
      <c r="S12" s="304"/>
      <c r="T12" s="144"/>
      <c r="U12" s="206">
        <f ca="1">IF(OR(AC$8=0,SUM(Z13:AC13)=0),1,IF(L12="l","",SUM(AB13:AC13)))</f>
        <v>1</v>
      </c>
      <c r="V12" s="385"/>
      <c r="W12" s="50"/>
      <c r="Z12"/>
    </row>
    <row r="13" spans="1:30" ht="15" customHeight="1" x14ac:dyDescent="0.15">
      <c r="C13" s="186" t="s">
        <v>432</v>
      </c>
      <c r="D13" s="205" t="s">
        <v>502</v>
      </c>
      <c r="E13" s="188" t="s">
        <v>405</v>
      </c>
      <c r="F13" s="226">
        <v>11.2</v>
      </c>
      <c r="G13" s="296" t="str">
        <f ca="1">IF(L13="b","",IF(L13="l",0,FIXED(F13,K13,0)&amp;M13))</f>
        <v xml:space="preserve">11.2  </v>
      </c>
      <c r="H13" s="187" t="s">
        <v>55</v>
      </c>
      <c r="I13" s="189" t="s">
        <v>387</v>
      </c>
      <c r="K13" s="215">
        <v>1</v>
      </c>
      <c r="L13" t="str">
        <f ca="1">CELL("type",F13)</f>
        <v>v</v>
      </c>
      <c r="M13" t="str">
        <f>REPT(" ",3-K13)&amp;IF(K13=0," ","")</f>
        <v xml:space="preserve">  </v>
      </c>
      <c r="O13" s="194"/>
      <c r="P13" s="208" t="str">
        <f>IF(ISNUMBER(D13),LOOKUP(D13,$AB$5:$AC$7),D13)</f>
        <v>硬質ビニル電線管</v>
      </c>
      <c r="Q13" s="208" t="str">
        <f>E13</f>
        <v>VE (16)</v>
      </c>
      <c r="R13" s="301" t="str">
        <f ca="1">G13</f>
        <v xml:space="preserve">11.2  </v>
      </c>
      <c r="S13" s="305" t="str">
        <f>H13</f>
        <v>ｍ</v>
      </c>
      <c r="T13" s="145">
        <v>63</v>
      </c>
      <c r="U13" s="216">
        <f ca="1">IF(L13="l","",IF(D13+F13&gt;0,SUM(Z13:AA13),-1))</f>
        <v>705</v>
      </c>
      <c r="V13" s="386">
        <v>2</v>
      </c>
      <c r="W13" s="107"/>
      <c r="Z13" s="114">
        <f>IF(D13&gt;0,0,TRUNC(F13*T13+Y13*X13))</f>
        <v>705</v>
      </c>
      <c r="AA13" t="b">
        <f>IF($D13=1,SUM(Z11:Z$13)-SUM(AA11:AA$13),IF($D13=2,$AA$6,IF($D13=3,TRUNC($AA$6,-3))))</f>
        <v>0</v>
      </c>
      <c r="AB13">
        <f ca="1">IF(OR(AC$8=0,L12="l",D13&gt;0,U13=-1),0,IF(L12="b",-U13,TRUNC(F12*T13)))</f>
        <v>0</v>
      </c>
      <c r="AC13" t="b">
        <f>IF($D13=1,SUM(AB11:AB$13)-SUM(AC11:AC$13),IF($D13=2,$AA$5,IF($D13=3,TRUNC($AA$5,-3))))</f>
        <v>0</v>
      </c>
    </row>
    <row r="14" spans="1:30" ht="15" customHeight="1" x14ac:dyDescent="0.15">
      <c r="C14" s="182"/>
      <c r="D14" s="210"/>
      <c r="E14" s="184"/>
      <c r="F14" s="227"/>
      <c r="G14" s="297" t="str">
        <f ca="1">IF(OR(AC$8=0,L14="b"),"",IF(L14="l",0,"("&amp;FIXED(-F14,K15,0)&amp;M14))</f>
        <v/>
      </c>
      <c r="H14" s="183"/>
      <c r="I14" s="185"/>
      <c r="L14" t="str">
        <f ca="1">CELL("type",F14)</f>
        <v>b</v>
      </c>
      <c r="M14" t="str">
        <f>")"&amp;REPT(" ",2-K15)&amp;IF(K15=0," ","")</f>
        <v xml:space="preserve">) </v>
      </c>
      <c r="O14" s="194" t="s">
        <v>433</v>
      </c>
      <c r="P14" s="207">
        <f>D14</f>
        <v>0</v>
      </c>
      <c r="Q14" s="207">
        <f>E14</f>
        <v>0</v>
      </c>
      <c r="R14" s="300" t="str">
        <f ca="1">G14</f>
        <v/>
      </c>
      <c r="S14" s="304"/>
      <c r="T14" s="144"/>
      <c r="U14" s="206">
        <f ca="1">IF(OR(AC$8=0,SUM(Z15:AC15)=0),1,IF(L14="l","",SUM(AB15:AC15)))</f>
        <v>1</v>
      </c>
      <c r="V14" s="385"/>
      <c r="W14" s="50"/>
      <c r="Z14"/>
    </row>
    <row r="15" spans="1:30" ht="15" customHeight="1" x14ac:dyDescent="0.15">
      <c r="C15" s="186"/>
      <c r="D15" s="205" t="s">
        <v>236</v>
      </c>
      <c r="E15" s="188" t="s">
        <v>500</v>
      </c>
      <c r="F15" s="226">
        <v>6.4</v>
      </c>
      <c r="G15" s="296" t="str">
        <f ca="1">IF(L15="b","",IF(L15="l",0,FIXED(F15,K15,0)&amp;M15))</f>
        <v xml:space="preserve">6.4  </v>
      </c>
      <c r="H15" s="187" t="s">
        <v>55</v>
      </c>
      <c r="I15" s="189" t="s">
        <v>458</v>
      </c>
      <c r="K15" s="215">
        <v>1</v>
      </c>
      <c r="L15" t="str">
        <f ca="1">CELL("type",F15)</f>
        <v>v</v>
      </c>
      <c r="M15" t="str">
        <f>REPT(" ",3-K15)&amp;IF(K15=0," ","")</f>
        <v xml:space="preserve">  </v>
      </c>
      <c r="O15" s="194"/>
      <c r="P15" s="208" t="str">
        <f>IF(ISNUMBER(D15),LOOKUP(D15,$AB$5:$AC$7),D15)</f>
        <v>〃</v>
      </c>
      <c r="Q15" s="208" t="str">
        <f>E15</f>
        <v>VE (22)</v>
      </c>
      <c r="R15" s="301" t="str">
        <f ca="1">G15</f>
        <v xml:space="preserve">6.4  </v>
      </c>
      <c r="S15" s="305" t="str">
        <f>H15</f>
        <v>ｍ</v>
      </c>
      <c r="T15" s="145">
        <v>71</v>
      </c>
      <c r="U15" s="216">
        <f ca="1">IF(L15="l","",IF(D15+F15&gt;0,SUM(Z15:AA15),-1))</f>
        <v>454</v>
      </c>
      <c r="V15" s="386">
        <v>3</v>
      </c>
      <c r="W15" s="107"/>
      <c r="Z15" s="114">
        <f>IF(D15&gt;0,0,TRUNC(F15*T15+Y15*X15))</f>
        <v>454</v>
      </c>
      <c r="AA15" t="b">
        <f>IF($D15=1,SUM(Z$13:Z13)-SUM(AA$13:AA13),IF($D15=2,$AA$6,IF($D15=3,TRUNC($AA$6,-3))))</f>
        <v>0</v>
      </c>
      <c r="AB15">
        <f ca="1">IF(OR(AC$8=0,L14="l",D15&gt;0,U15=-1),0,IF(L14="b",-U15,TRUNC(F14*T15)))</f>
        <v>0</v>
      </c>
      <c r="AC15" t="b">
        <f>IF($D15=1,SUM(AB$13:AB13)-SUM(AC$13:AC13),IF($D15=2,$AA$5,IF($D15=3,TRUNC($AA$5,-3))))</f>
        <v>0</v>
      </c>
    </row>
    <row r="16" spans="1:30" ht="15" customHeight="1" x14ac:dyDescent="0.15">
      <c r="C16" s="182"/>
      <c r="D16" s="210"/>
      <c r="E16" s="184"/>
      <c r="F16" s="227"/>
      <c r="G16" s="297" t="str">
        <f ca="1">IF(OR(AC$8=0,L16="b"),"",IF(L16="l",0,"("&amp;FIXED(-F16,K17,0)&amp;M16))</f>
        <v/>
      </c>
      <c r="H16" s="183"/>
      <c r="I16" s="185"/>
      <c r="L16" t="str">
        <f t="shared" ref="L16:L29" ca="1" si="0">CELL("type",F16)</f>
        <v>b</v>
      </c>
      <c r="M16" t="str">
        <f>")"&amp;REPT(" ",2-K17)&amp;IF(K17=0," ","")</f>
        <v xml:space="preserve">) </v>
      </c>
      <c r="O16" s="194"/>
      <c r="P16" s="207">
        <f>D16</f>
        <v>0</v>
      </c>
      <c r="Q16" s="207">
        <f>E16</f>
        <v>0</v>
      </c>
      <c r="R16" s="300" t="str">
        <f t="shared" ref="R16:R29" ca="1" si="1">G16</f>
        <v/>
      </c>
      <c r="S16" s="304"/>
      <c r="T16" s="144"/>
      <c r="U16" s="206">
        <f ca="1">IF(OR(AC$8=0,SUM(Z17:AC17)=0),1,IF(L16="l","",SUM(AB17:AC17)))</f>
        <v>1</v>
      </c>
      <c r="V16" s="385"/>
      <c r="W16" s="50"/>
      <c r="Z16"/>
    </row>
    <row r="17" spans="3:29" ht="15" customHeight="1" x14ac:dyDescent="0.15">
      <c r="C17" s="186"/>
      <c r="D17" s="205" t="s">
        <v>236</v>
      </c>
      <c r="E17" s="188" t="s">
        <v>501</v>
      </c>
      <c r="F17" s="226">
        <v>11.2</v>
      </c>
      <c r="G17" s="296" t="str">
        <f ca="1">IF(L17="b","",IF(L17="l",0,FIXED(F17,K17,0)&amp;M17))</f>
        <v xml:space="preserve">11.2  </v>
      </c>
      <c r="H17" s="187" t="s">
        <v>55</v>
      </c>
      <c r="I17" s="189" t="s">
        <v>458</v>
      </c>
      <c r="K17" s="215">
        <v>1</v>
      </c>
      <c r="L17" t="str">
        <f t="shared" ca="1" si="0"/>
        <v>v</v>
      </c>
      <c r="M17" t="str">
        <f>REPT(" ",3-K17)&amp;IF(K17=0," ","")</f>
        <v xml:space="preserve">  </v>
      </c>
      <c r="O17" s="194" t="s">
        <v>15</v>
      </c>
      <c r="P17" s="208" t="str">
        <f>IF(ISNUMBER(D17),LOOKUP(D17,$AB$5:$AC$7),D17)</f>
        <v>〃</v>
      </c>
      <c r="Q17" s="208" t="str">
        <f t="shared" ref="Q17:Q29" si="2">E17</f>
        <v>VE (36)</v>
      </c>
      <c r="R17" s="301" t="str">
        <f t="shared" ca="1" si="1"/>
        <v xml:space="preserve">11.2  </v>
      </c>
      <c r="S17" s="305" t="str">
        <f>H17</f>
        <v>ｍ</v>
      </c>
      <c r="T17" s="145">
        <v>199</v>
      </c>
      <c r="U17" s="216">
        <f ca="1">IF(L17="l","",IF(D17+F17&gt;0,SUM(Z17:AA17),-1))</f>
        <v>2228</v>
      </c>
      <c r="V17" s="386">
        <v>5</v>
      </c>
      <c r="W17" s="107"/>
      <c r="Z17" s="114">
        <f>IF(D17&gt;0,0,TRUNC(F17*T17+Y17*X17))</f>
        <v>2228</v>
      </c>
      <c r="AA17" t="b">
        <f>IF($D17=1,SUM(Z$13:Z15)-SUM(AA$13:AA15),IF($D17=2,$AA$6,IF($D17=3,TRUNC($AA$6,-3))))</f>
        <v>0</v>
      </c>
      <c r="AB17">
        <f ca="1">IF(OR(AC$8=0,L16="l",D17&gt;0,U17=-1),0,IF(L16="b",-U17,TRUNC(F16*T17)))</f>
        <v>0</v>
      </c>
      <c r="AC17" t="b">
        <f>IF($D17=1,SUM(AB$13:AB15)-SUM(AC$13:AC15),IF($D17=2,$AA$5,IF($D17=3,TRUNC($AA$5,-3))))</f>
        <v>0</v>
      </c>
    </row>
    <row r="18" spans="3:29" ht="15" customHeight="1" x14ac:dyDescent="0.15">
      <c r="C18" s="182"/>
      <c r="D18" s="214" t="s">
        <v>20</v>
      </c>
      <c r="E18" s="184"/>
      <c r="F18" s="227"/>
      <c r="G18" s="297" t="str">
        <f ca="1">IF(OR(AC$8=0,L18="b"),"",IF(L18="l",0,"("&amp;FIXED(-F18,K19,0)&amp;M18))</f>
        <v/>
      </c>
      <c r="H18" s="183"/>
      <c r="I18" s="185"/>
      <c r="L18" t="str">
        <f t="shared" ca="1" si="0"/>
        <v>b</v>
      </c>
      <c r="M18" t="str">
        <f>")"&amp;REPT(" ",2-K19)&amp;IF(K19=0," ","")</f>
        <v xml:space="preserve">) </v>
      </c>
      <c r="O18" s="194"/>
      <c r="P18" s="317" t="str">
        <f>D18</f>
        <v xml:space="preserve">  合成樹脂製</v>
      </c>
      <c r="Q18" s="207">
        <f t="shared" si="2"/>
        <v>0</v>
      </c>
      <c r="R18" s="300" t="str">
        <f t="shared" ca="1" si="1"/>
        <v/>
      </c>
      <c r="S18" s="304"/>
      <c r="T18" s="144"/>
      <c r="U18" s="206">
        <f ca="1">IF(OR(AC$8=0,SUM(Z19:AC19)=0),1,IF(L18="l","",SUM(AB19:AC19)))</f>
        <v>1</v>
      </c>
      <c r="V18" s="385"/>
      <c r="W18" s="50"/>
      <c r="Z18"/>
    </row>
    <row r="19" spans="3:29" ht="15" customHeight="1" x14ac:dyDescent="0.15">
      <c r="C19" s="186"/>
      <c r="D19" s="213" t="s">
        <v>393</v>
      </c>
      <c r="E19" s="188" t="s">
        <v>389</v>
      </c>
      <c r="F19" s="226">
        <v>3.7</v>
      </c>
      <c r="G19" s="296" t="str">
        <f ca="1">IF(L19="b","",IF(L19="l",0,FIXED(F19,K19,0)&amp;M19))</f>
        <v xml:space="preserve">3.7  </v>
      </c>
      <c r="H19" s="187" t="s">
        <v>55</v>
      </c>
      <c r="I19" s="189" t="s">
        <v>458</v>
      </c>
      <c r="K19" s="215">
        <v>1</v>
      </c>
      <c r="L19" t="str">
        <f t="shared" ca="1" si="0"/>
        <v>v</v>
      </c>
      <c r="M19" t="str">
        <f>REPT(" ",3-K19)&amp;IF(K19=0," ","")</f>
        <v xml:space="preserve">  </v>
      </c>
      <c r="O19" s="194"/>
      <c r="P19" s="256" t="str">
        <f>IF(ISNUMBER(D19),LOOKUP(D19,$AB$5:$AC$7),D19)</f>
        <v>可とう電線管　</v>
      </c>
      <c r="Q19" s="208" t="str">
        <f t="shared" si="2"/>
        <v>PF-S (28)</v>
      </c>
      <c r="R19" s="301" t="str">
        <f t="shared" ca="1" si="1"/>
        <v xml:space="preserve">3.7  </v>
      </c>
      <c r="S19" s="305" t="str">
        <f>H19</f>
        <v>ｍ</v>
      </c>
      <c r="T19" s="145">
        <v>102</v>
      </c>
      <c r="U19" s="216">
        <f ca="1">IF(L19="l","",IF(D19+F19&gt;0,SUM(Z19:AA19),-1))</f>
        <v>377</v>
      </c>
      <c r="V19" s="386">
        <v>30</v>
      </c>
      <c r="W19" s="107"/>
      <c r="Z19" s="114">
        <f>IF(D19&gt;0,0,TRUNC(F19*T19+Y19*X19))</f>
        <v>377</v>
      </c>
      <c r="AA19" t="b">
        <f>IF($D19=1,SUM(Z$13:Z17)-SUM(AA$13:AA17),IF($D19=2,$AA$6,IF($D19=3,TRUNC($AA$6,-3))))</f>
        <v>0</v>
      </c>
      <c r="AB19">
        <f ca="1">IF(OR(AC$8=0,L18="l",D19&gt;0,U19=-1),0,IF(L18="b",-U19,TRUNC(F18*T19)))</f>
        <v>0</v>
      </c>
      <c r="AC19" t="b">
        <f>IF($D19=1,SUM(AB$13:AB17)-SUM(AC$13:AC17),IF($D19=2,$AA$5,IF($D19=3,TRUNC($AA$5,-3))))</f>
        <v>0</v>
      </c>
    </row>
    <row r="20" spans="3:29" ht="15" customHeight="1" x14ac:dyDescent="0.15">
      <c r="C20" s="182"/>
      <c r="D20" s="210"/>
      <c r="E20" s="184"/>
      <c r="F20" s="227"/>
      <c r="G20" s="297" t="str">
        <f ca="1">IF(OR(AC$8=0,L20="b"),"",IF(L20="l",0,"("&amp;FIXED(-F20,K21,0)&amp;M20))</f>
        <v/>
      </c>
      <c r="H20" s="183"/>
      <c r="I20" s="185"/>
      <c r="L20" t="str">
        <f t="shared" ca="1" si="0"/>
        <v>b</v>
      </c>
      <c r="M20" t="str">
        <f>")"&amp;REPT(" ",2-K21)&amp;IF(K21=0," ","")</f>
        <v xml:space="preserve">)   </v>
      </c>
      <c r="O20" s="194" t="s">
        <v>30</v>
      </c>
      <c r="P20" s="207">
        <f>D20</f>
        <v>0</v>
      </c>
      <c r="Q20" s="207">
        <f t="shared" si="2"/>
        <v>0</v>
      </c>
      <c r="R20" s="300" t="str">
        <f t="shared" ca="1" si="1"/>
        <v/>
      </c>
      <c r="S20" s="304"/>
      <c r="T20" s="144"/>
      <c r="U20" s="206">
        <f ca="1">IF(OR(AC$8=0,SUM(Z21:AC21)=0),1,IF(L20="l","",SUM(AB21:AC21)))</f>
        <v>1</v>
      </c>
      <c r="V20" s="385"/>
      <c r="W20" s="197" t="str">
        <f ca="1">IF(OR(AC$8=0,SUM(Z21:AC21)=0),"",CONCATENATE("(",FIXED(-#REF!,0),")"))</f>
        <v/>
      </c>
      <c r="Y20">
        <f ca="1">SUM(AB13:AB19)</f>
        <v>0</v>
      </c>
      <c r="Z20"/>
    </row>
    <row r="21" spans="3:29" ht="15" customHeight="1" x14ac:dyDescent="0.15">
      <c r="C21" s="186"/>
      <c r="D21" s="205" t="s">
        <v>233</v>
      </c>
      <c r="E21" s="188" t="s">
        <v>25</v>
      </c>
      <c r="F21" s="226">
        <v>1</v>
      </c>
      <c r="G21" s="296" t="str">
        <f ca="1">IF(L21="b","",IF(L21="l",0,FIXED(F21,K21,0)&amp;M21))</f>
        <v xml:space="preserve">1    </v>
      </c>
      <c r="H21" s="187" t="s">
        <v>99</v>
      </c>
      <c r="I21" s="189"/>
      <c r="K21" s="215"/>
      <c r="L21" t="str">
        <f t="shared" ca="1" si="0"/>
        <v>v</v>
      </c>
      <c r="M21" t="str">
        <f>REPT(" ",3-K21)&amp;IF(K21=0," ","")</f>
        <v xml:space="preserve">    </v>
      </c>
      <c r="O21" s="194"/>
      <c r="P21" s="208" t="str">
        <f>IF(ISNUMBER(D21),LOOKUP(D21,$AB$5:$AC$7),D21)</f>
        <v>付  属  材  料</v>
      </c>
      <c r="Q21" s="208" t="str">
        <f t="shared" si="2"/>
        <v>上記材料費の 30％</v>
      </c>
      <c r="R21" s="301" t="str">
        <f t="shared" ca="1" si="1"/>
        <v xml:space="preserve">1    </v>
      </c>
      <c r="S21" s="305" t="str">
        <f>H21</f>
        <v>式</v>
      </c>
      <c r="T21" s="145"/>
      <c r="U21" s="216">
        <f ca="1">IF(L21="l","",IF(D21+F21&gt;0,SUM(Z21:AA21),-1))</f>
        <v>1129</v>
      </c>
      <c r="V21" s="386"/>
      <c r="W21" s="142" t="str">
        <f>TEXT(Y21," #,0×")&amp;TEXT(X21,"0.00＝")</f>
        <v xml:space="preserve"> 3,764×0.30＝</v>
      </c>
      <c r="X21">
        <f>VALUE(RIGHT(E21,4))</f>
        <v>0.3</v>
      </c>
      <c r="Y21" s="114">
        <f>SUM(Z13:Z19)</f>
        <v>3764</v>
      </c>
      <c r="Z21" s="114">
        <f>IF(D21&gt;0,0,TRUNC(F21*T21+Y21*X21))</f>
        <v>1129</v>
      </c>
      <c r="AA21" t="b">
        <f>IF($D21=1,SUM(Z13:Z$13)-SUM(AA13:AA$13),IF($D21=2,$AA$6,IF($D21=3,TRUNC($AA$6,-3))))</f>
        <v>0</v>
      </c>
      <c r="AB21">
        <f ca="1">IF(OR(AC$8=0,L20="l",D21&gt;0,U21=-1),0,IF(L20="b",-U21,TRUNC(F20*T21)))</f>
        <v>0</v>
      </c>
      <c r="AC21" t="b">
        <f>IF($D21=1,SUM(AB13:AB$13)-SUM(AC13:AC$13),IF($D21=2,$AA$5,IF($D21=3,TRUNC($AA$5,-3))))</f>
        <v>0</v>
      </c>
    </row>
    <row r="22" spans="3:29" ht="15" customHeight="1" x14ac:dyDescent="0.15">
      <c r="C22" s="182"/>
      <c r="D22" s="210"/>
      <c r="E22" s="184"/>
      <c r="F22" s="225"/>
      <c r="G22" s="297" t="str">
        <f ca="1">IF(OR(AC$8=0,L22="b"),"",IF(L22="l",0,"("&amp;FIXED(-F22,K23,0)&amp;M22))</f>
        <v/>
      </c>
      <c r="H22" s="183"/>
      <c r="I22" s="185"/>
      <c r="L22" t="str">
        <f t="shared" ca="1" si="0"/>
        <v>b</v>
      </c>
      <c r="M22" t="str">
        <f>")"&amp;REPT(" ",2-K23)&amp;IF(K23=0," ","")</f>
        <v xml:space="preserve">)   </v>
      </c>
      <c r="O22" s="194"/>
      <c r="P22" s="207">
        <f>D22</f>
        <v>0</v>
      </c>
      <c r="Q22" s="207">
        <f t="shared" si="2"/>
        <v>0</v>
      </c>
      <c r="R22" s="300" t="str">
        <f t="shared" ca="1" si="1"/>
        <v/>
      </c>
      <c r="S22" s="304"/>
      <c r="T22" s="144"/>
      <c r="U22" s="206">
        <f ca="1">IF(OR(AC$8=0,SUM(Z23:AC23)=0),1,IF(L22="l","",SUM(AB23:AC23)))</f>
        <v>1</v>
      </c>
      <c r="V22" s="398"/>
      <c r="W22" s="50"/>
      <c r="Z22"/>
    </row>
    <row r="23" spans="3:29" ht="15" customHeight="1" x14ac:dyDescent="0.15">
      <c r="C23" s="186"/>
      <c r="D23" s="205"/>
      <c r="E23" s="188"/>
      <c r="F23" s="226"/>
      <c r="G23" s="296" t="str">
        <f ca="1">IF(L23="b","",IF(L23="l",0,FIXED(F23,K23,0)&amp;M23))</f>
        <v/>
      </c>
      <c r="H23" s="187"/>
      <c r="I23" s="189"/>
      <c r="K23" s="215"/>
      <c r="L23" t="str">
        <f t="shared" ca="1" si="0"/>
        <v>b</v>
      </c>
      <c r="M23" t="str">
        <f>REPT(" ",3-K23)&amp;IF(K23=0," ","")</f>
        <v xml:space="preserve">    </v>
      </c>
      <c r="O23" s="194" t="s">
        <v>31</v>
      </c>
      <c r="P23" s="208">
        <f>IF(ISNUMBER(D23),LOOKUP(D23,$AB$5:$AC$7),D23)</f>
        <v>0</v>
      </c>
      <c r="Q23" s="208">
        <f t="shared" si="2"/>
        <v>0</v>
      </c>
      <c r="R23" s="301" t="str">
        <f t="shared" ca="1" si="1"/>
        <v/>
      </c>
      <c r="S23" s="305">
        <f>H23</f>
        <v>0</v>
      </c>
      <c r="T23" s="145"/>
      <c r="U23" s="216">
        <f ca="1">IF(L23="l","",IF(D23+F23&gt;0,SUM(Z23:AA23),-1))</f>
        <v>-1</v>
      </c>
      <c r="V23" s="399"/>
      <c r="W23" s="107"/>
      <c r="Z23" s="114">
        <f>IF(D23&gt;0,0,TRUNC(F23*T23+Y23*X23))</f>
        <v>0</v>
      </c>
      <c r="AA23" t="b">
        <f>IF($D23=1,SUM(Z$13:Z21)-SUM(AA$13:AA21),IF($D23=2,$AA$6,IF($D23=3,TRUNC($AA$6,-3))))</f>
        <v>0</v>
      </c>
      <c r="AB23">
        <f ca="1">IF(OR(AC$8=0,L22="l",D23&gt;0,U23=-1),0,IF(L22="b",-U23,TRUNC(F22*T23)))</f>
        <v>0</v>
      </c>
      <c r="AC23" t="b">
        <f>IF($D23=1,SUM(AB$13:AB21)-SUM(AC$13:AC21),IF($D23=2,$AA$5,IF($D23=3,TRUNC($AA$5,-3))))</f>
        <v>0</v>
      </c>
    </row>
    <row r="24" spans="3:29" ht="15" customHeight="1" x14ac:dyDescent="0.15">
      <c r="C24" s="182"/>
      <c r="D24" s="210"/>
      <c r="E24" s="184"/>
      <c r="F24" s="225"/>
      <c r="G24" s="297" t="str">
        <f ca="1">IF(OR(AC$8=0,L24="b"),"",IF(L24="l",0,"("&amp;FIXED(-F24,K25,0)&amp;M24))</f>
        <v/>
      </c>
      <c r="H24" s="183"/>
      <c r="I24" s="185"/>
      <c r="L24" t="str">
        <f t="shared" ca="1" si="0"/>
        <v>b</v>
      </c>
      <c r="M24" t="str">
        <f>")"&amp;REPT(" ",2-K25)&amp;IF(K25=0," ","")</f>
        <v xml:space="preserve">)   </v>
      </c>
      <c r="O24" s="194"/>
      <c r="P24" s="207">
        <f>D24</f>
        <v>0</v>
      </c>
      <c r="Q24" s="207">
        <f t="shared" si="2"/>
        <v>0</v>
      </c>
      <c r="R24" s="300" t="str">
        <f t="shared" ca="1" si="1"/>
        <v/>
      </c>
      <c r="S24" s="304"/>
      <c r="T24" s="144"/>
      <c r="U24" s="206">
        <f ca="1">IF(OR(AC$8=0,SUM(Z25:AC25)=0),1,IF(L24="l","",SUM(AB25:AC25)))</f>
        <v>1</v>
      </c>
      <c r="V24" s="398"/>
      <c r="W24" s="50"/>
      <c r="Z24"/>
    </row>
    <row r="25" spans="3:29" ht="15" customHeight="1" x14ac:dyDescent="0.15">
      <c r="C25" s="186"/>
      <c r="D25" s="205"/>
      <c r="E25" s="188"/>
      <c r="F25" s="226"/>
      <c r="G25" s="296" t="str">
        <f ca="1">IF(L25="b","",IF(L25="l",0,FIXED(F25,K25,0)&amp;M25))</f>
        <v/>
      </c>
      <c r="H25" s="187"/>
      <c r="I25" s="189"/>
      <c r="K25" s="215"/>
      <c r="L25" t="str">
        <f t="shared" ca="1" si="0"/>
        <v>b</v>
      </c>
      <c r="M25" t="str">
        <f>REPT(" ",3-K25)&amp;IF(K25=0," ","")</f>
        <v xml:space="preserve">    </v>
      </c>
      <c r="O25" s="194"/>
      <c r="P25" s="208">
        <f>IF(ISNUMBER(D25),LOOKUP(D25,$AB$5:$AC$7),D25)</f>
        <v>0</v>
      </c>
      <c r="Q25" s="208">
        <f t="shared" si="2"/>
        <v>0</v>
      </c>
      <c r="R25" s="301" t="str">
        <f t="shared" ca="1" si="1"/>
        <v/>
      </c>
      <c r="S25" s="305">
        <f>H25</f>
        <v>0</v>
      </c>
      <c r="T25" s="145"/>
      <c r="U25" s="216">
        <f ca="1">IF(L25="l","",IF(D25+F25&gt;0,SUM(Z25:AA25),-1))</f>
        <v>-1</v>
      </c>
      <c r="V25" s="399"/>
      <c r="W25" s="107"/>
      <c r="Z25" s="114">
        <f>IF(D25&gt;0,0,TRUNC(F25*T25+Y25*X25))</f>
        <v>0</v>
      </c>
      <c r="AA25" t="b">
        <f>IF($D25=1,SUM(Z$13:Z23)-SUM(AA$13:AA23),IF($D25=2,$AA$6,IF($D25=3,TRUNC($AA$6,-3))))</f>
        <v>0</v>
      </c>
      <c r="AB25">
        <f ca="1">IF(OR(AC$8=0,L24="l",D25&gt;0,U25=-1),0,IF(L24="b",-U25,TRUNC(F24*T25)))</f>
        <v>0</v>
      </c>
      <c r="AC25" t="b">
        <f>IF($D25=1,SUM(AB$13:AB23)-SUM(AC$13:AC23),IF($D25=2,$AA$5,IF($D25=3,TRUNC($AA$5,-3))))</f>
        <v>0</v>
      </c>
    </row>
    <row r="26" spans="3:29" ht="15" customHeight="1" x14ac:dyDescent="0.15">
      <c r="C26" s="182"/>
      <c r="D26" s="210"/>
      <c r="E26" s="184"/>
      <c r="F26" s="225"/>
      <c r="G26" s="297" t="str">
        <f ca="1">IF(OR(AC$8=0,L26="b"),"",IF(L26="l",0,"("&amp;FIXED(-F26,K27,0)&amp;M26))</f>
        <v/>
      </c>
      <c r="H26" s="183"/>
      <c r="I26" s="185"/>
      <c r="L26" t="str">
        <f t="shared" ca="1" si="0"/>
        <v>b</v>
      </c>
      <c r="M26" t="str">
        <f>")"&amp;REPT(" ",2-K27)&amp;IF(K27=0," ","")</f>
        <v xml:space="preserve">)   </v>
      </c>
      <c r="O26" s="194"/>
      <c r="P26" s="207">
        <f>D26</f>
        <v>0</v>
      </c>
      <c r="Q26" s="207">
        <f t="shared" si="2"/>
        <v>0</v>
      </c>
      <c r="R26" s="300" t="str">
        <f t="shared" ca="1" si="1"/>
        <v/>
      </c>
      <c r="S26" s="304"/>
      <c r="T26" s="144"/>
      <c r="U26" s="206">
        <f ca="1">IF(OR(AC$8=0,SUM(Z27:AC27)=0),1,IF(L26="l","",SUM(AB27:AC27)))</f>
        <v>1</v>
      </c>
      <c r="V26" s="398"/>
      <c r="W26" s="50"/>
      <c r="Z26"/>
    </row>
    <row r="27" spans="3:29" ht="15" customHeight="1" x14ac:dyDescent="0.15">
      <c r="C27" s="186"/>
      <c r="D27" s="205">
        <v>1</v>
      </c>
      <c r="E27" s="188"/>
      <c r="F27" s="226"/>
      <c r="G27" s="296" t="str">
        <f ca="1">IF(L27="b","",IF(L27="l",0,FIXED(F27,K27,0)&amp;M27))</f>
        <v/>
      </c>
      <c r="H27" s="187"/>
      <c r="I27" s="189"/>
      <c r="K27" s="215"/>
      <c r="L27" t="str">
        <f t="shared" ca="1" si="0"/>
        <v>b</v>
      </c>
      <c r="M27" t="str">
        <f>REPT(" ",3-K27)&amp;IF(K27=0," ","")</f>
        <v xml:space="preserve">    </v>
      </c>
      <c r="O27" s="194"/>
      <c r="P27" s="208" t="str">
        <f>IF(ISNUMBER(D27),LOOKUP(D27,$AB$5:$AC$7),D27)</f>
        <v>小    　計</v>
      </c>
      <c r="Q27" s="208">
        <f t="shared" si="2"/>
        <v>0</v>
      </c>
      <c r="R27" s="301" t="str">
        <f t="shared" ca="1" si="1"/>
        <v/>
      </c>
      <c r="S27" s="305">
        <f>H27</f>
        <v>0</v>
      </c>
      <c r="T27" s="145"/>
      <c r="U27" s="216">
        <f ca="1">IF(L27="l","",IF(D27+F27&gt;0,SUM(Z27:AA27),-1))</f>
        <v>4893</v>
      </c>
      <c r="V27" s="399"/>
      <c r="W27" s="107"/>
      <c r="Z27" s="114">
        <f>IF(D27&gt;0,0,TRUNC(F27*T27+Y27*X27))</f>
        <v>0</v>
      </c>
      <c r="AA27">
        <f>IF($D27=1,SUM(Z$13:Z25)-SUM(AA$13:AA25),IF($D27=2,$AA$6,IF($D27=3,TRUNC($AA$6,-3))))</f>
        <v>4893</v>
      </c>
      <c r="AB27">
        <f ca="1">IF(OR(AC$8=0,L26="l",D27&gt;0,U27=-1),0,IF(L26="b",-U27,TRUNC(F26*T27)))</f>
        <v>0</v>
      </c>
      <c r="AC27">
        <f ca="1">IF($D27=1,SUM(AB$13:AB25)-SUM(AC$13:AC25),IF($D27=2,$AA$5,IF($D27=3,TRUNC($AA$5,-3))))</f>
        <v>0</v>
      </c>
    </row>
    <row r="28" spans="3:29" ht="15" customHeight="1" x14ac:dyDescent="0.15">
      <c r="C28" s="182"/>
      <c r="D28" s="212" t="s">
        <v>362</v>
      </c>
      <c r="E28" s="184"/>
      <c r="F28" s="225"/>
      <c r="G28" s="297" t="str">
        <f ca="1">IF(OR(AC$8=0,L28="b"),"",IF(L28="l",0,"("&amp;FIXED(-F28,K29,0)&amp;M28))</f>
        <v/>
      </c>
      <c r="H28" s="183"/>
      <c r="I28" s="185"/>
      <c r="L28" t="str">
        <f t="shared" ca="1" si="0"/>
        <v>b</v>
      </c>
      <c r="M28" t="str">
        <f>")"&amp;REPT(" ",2-K29)&amp;IF(K29=0," ","")</f>
        <v xml:space="preserve">) </v>
      </c>
      <c r="O28" s="194"/>
      <c r="P28" s="317" t="str">
        <f>D28</f>
        <v>　耐衝撃性硬質</v>
      </c>
      <c r="Q28" s="207">
        <f t="shared" si="2"/>
        <v>0</v>
      </c>
      <c r="R28" s="300" t="str">
        <f t="shared" ca="1" si="1"/>
        <v/>
      </c>
      <c r="S28" s="304"/>
      <c r="T28" s="144"/>
      <c r="U28" s="206">
        <f ca="1">IF(OR(AC$8=0,SUM(Z29:AC29)=0),1,IF(L28="l","",SUM(AB29:AC29)))</f>
        <v>1</v>
      </c>
      <c r="V28" s="398"/>
      <c r="W28" s="50"/>
      <c r="Z28"/>
    </row>
    <row r="29" spans="3:29" ht="15" customHeight="1" x14ac:dyDescent="0.15">
      <c r="C29" s="186" t="s">
        <v>499</v>
      </c>
      <c r="D29" s="213" t="s">
        <v>363</v>
      </c>
      <c r="E29" s="188" t="s">
        <v>462</v>
      </c>
      <c r="F29" s="226">
        <v>71.099999999999994</v>
      </c>
      <c r="G29" s="296" t="str">
        <f ca="1">IF(L29="b","",IF(L29="l",0,FIXED(F29,K29,0)&amp;M29))</f>
        <v xml:space="preserve">71.1  </v>
      </c>
      <c r="H29" s="187" t="s">
        <v>392</v>
      </c>
      <c r="I29" s="189" t="s">
        <v>387</v>
      </c>
      <c r="K29" s="215">
        <v>1</v>
      </c>
      <c r="L29" t="str">
        <f t="shared" ca="1" si="0"/>
        <v>v</v>
      </c>
      <c r="M29" t="str">
        <f>REPT(" ",3-K29)&amp;IF(K29=0," ","")</f>
        <v xml:space="preserve">  </v>
      </c>
      <c r="O29" s="194"/>
      <c r="P29" s="256" t="str">
        <f>IF(ISNUMBER(D29),LOOKUP(D29,$AB$5:$AC$7),D29)</f>
        <v>ビニル電線管　</v>
      </c>
      <c r="Q29" s="208" t="str">
        <f t="shared" si="2"/>
        <v>HIVE (36)</v>
      </c>
      <c r="R29" s="301" t="str">
        <f t="shared" ca="1" si="1"/>
        <v xml:space="preserve">71.1  </v>
      </c>
      <c r="S29" s="305" t="str">
        <f>H29</f>
        <v>ｍ</v>
      </c>
      <c r="T29" s="145">
        <v>272</v>
      </c>
      <c r="U29" s="216">
        <f ca="1">IF(L29="l","",IF(D29+F29&gt;0,SUM(Z29:AA29),-1))</f>
        <v>19339</v>
      </c>
      <c r="V29" s="399">
        <v>15</v>
      </c>
      <c r="W29" s="107"/>
      <c r="Z29" s="114">
        <f>IF(D29&gt;0,0,TRUNC(F29*T29+Y29*X29))</f>
        <v>19339</v>
      </c>
      <c r="AA29" t="b">
        <f>IF($D29=1,SUM(Z$13:Z27)-SUM(AA$13:AA27),IF($D29=2,$AA$6,IF($D29=3,TRUNC($AA$6,-3))))</f>
        <v>0</v>
      </c>
      <c r="AB29">
        <f ca="1">IF(OR(AC$8=0,L28="l",D29&gt;0,U29=-1),0,IF(L28="b",-U29,TRUNC(F28*T29)))</f>
        <v>0</v>
      </c>
      <c r="AC29" t="b">
        <f>IF($D29=1,SUM(AB$13:AB27)-SUM(AC$13:AC27),IF($D29=2,$AA$5,IF($D29=3,TRUNC($AA$5,-3))))</f>
        <v>0</v>
      </c>
    </row>
    <row r="30" spans="3:29" ht="15" customHeight="1" x14ac:dyDescent="0.15">
      <c r="C30" s="182"/>
      <c r="D30" s="214" t="s">
        <v>20</v>
      </c>
      <c r="E30" s="184"/>
      <c r="F30" s="225"/>
      <c r="G30" s="297" t="str">
        <f ca="1">IF(OR(AC$8=0,L30="b"),"",IF(L30="l",0,"("&amp;FIXED(-F30,K31,0)&amp;M30))</f>
        <v/>
      </c>
      <c r="H30" s="183"/>
      <c r="I30" s="185"/>
      <c r="L30" t="str">
        <f t="shared" ref="L30:L49" ca="1" si="3">CELL("type",F30)</f>
        <v>b</v>
      </c>
      <c r="M30" t="str">
        <f>")"&amp;REPT(" ",2-K31)&amp;IF(K31=0," ","")</f>
        <v xml:space="preserve">) </v>
      </c>
      <c r="O30" s="194" t="s">
        <v>34</v>
      </c>
      <c r="P30" s="317" t="str">
        <f>D30</f>
        <v xml:space="preserve">  合成樹脂製</v>
      </c>
      <c r="Q30" s="207">
        <f t="shared" ref="Q30:Q49" si="4">E30</f>
        <v>0</v>
      </c>
      <c r="R30" s="300" t="str">
        <f t="shared" ref="R30:R49" ca="1" si="5">G30</f>
        <v/>
      </c>
      <c r="S30" s="304"/>
      <c r="T30" s="144"/>
      <c r="U30" s="206">
        <f ca="1">IF(OR(AC$8=0,SUM(Z31:AC31)=0),1,IF(L30="l","",SUM(AB31:AC31)))</f>
        <v>1</v>
      </c>
      <c r="V30" s="398"/>
      <c r="W30" s="50"/>
      <c r="Z30"/>
    </row>
    <row r="31" spans="3:29" ht="15" customHeight="1" x14ac:dyDescent="0.15">
      <c r="C31" s="186"/>
      <c r="D31" s="213" t="s">
        <v>393</v>
      </c>
      <c r="E31" s="188" t="s">
        <v>388</v>
      </c>
      <c r="F31" s="226">
        <v>365.5</v>
      </c>
      <c r="G31" s="296" t="str">
        <f ca="1">IF(L31="b","",IF(L31="l",0,FIXED(F31,K31,0)&amp;M31))</f>
        <v xml:space="preserve">365.5  </v>
      </c>
      <c r="H31" s="187" t="s">
        <v>392</v>
      </c>
      <c r="I31" s="189" t="s">
        <v>390</v>
      </c>
      <c r="K31" s="215">
        <v>1</v>
      </c>
      <c r="L31" t="str">
        <f t="shared" ca="1" si="3"/>
        <v>v</v>
      </c>
      <c r="M31" t="str">
        <f>REPT(" ",3-K31)&amp;IF(K31=0," ","")</f>
        <v xml:space="preserve">  </v>
      </c>
      <c r="O31" s="194" t="s">
        <v>35</v>
      </c>
      <c r="P31" s="256" t="str">
        <f>IF(ISNUMBER(D31),LOOKUP(D31,$AB$5:$AC$7),D31)</f>
        <v>可とう電線管　</v>
      </c>
      <c r="Q31" s="208" t="str">
        <f t="shared" si="4"/>
        <v>PF-S (22)</v>
      </c>
      <c r="R31" s="301" t="str">
        <f t="shared" ca="1" si="5"/>
        <v xml:space="preserve">365.5  </v>
      </c>
      <c r="S31" s="305" t="str">
        <f>H31</f>
        <v>ｍ</v>
      </c>
      <c r="T31" s="145">
        <v>80</v>
      </c>
      <c r="U31" s="216">
        <f ca="1">IF(L31="l","",IF(D31+F31&gt;0,SUM(Z31:AA31),-1))</f>
        <v>29240</v>
      </c>
      <c r="V31" s="399">
        <v>29</v>
      </c>
      <c r="W31" s="107"/>
      <c r="Z31" s="114">
        <f>IF(D31&gt;0,0,TRUNC(F31*T31+Y31*X31))</f>
        <v>29240</v>
      </c>
      <c r="AA31" t="b">
        <f>IF($D31=1,SUM(Z$13:Z29)-SUM(AA$13:AA29),IF($D31=2,$AA$6,IF($D31=3,TRUNC($AA$6,-3))))</f>
        <v>0</v>
      </c>
      <c r="AB31">
        <f ca="1">IF(OR(AC$8=0,L30="l",D31&gt;0,U31=-1),0,IF(L30="b",-U31,TRUNC(F30*T31)))</f>
        <v>0</v>
      </c>
      <c r="AC31" t="b">
        <f>IF($D31=1,SUM(AB$13:AB29)-SUM(AC$13:AC29),IF($D31=2,$AA$5,IF($D31=3,TRUNC($AA$5,-3))))</f>
        <v>0</v>
      </c>
    </row>
    <row r="32" spans="3:29" ht="15" customHeight="1" x14ac:dyDescent="0.15">
      <c r="C32" s="182"/>
      <c r="D32" s="210"/>
      <c r="E32" s="184"/>
      <c r="F32" s="225"/>
      <c r="G32" s="297" t="str">
        <f ca="1">IF(OR(AC$8=0,L32="b"),"",IF(L32="l",0,"("&amp;FIXED(-F32,K33,0)&amp;M32))</f>
        <v/>
      </c>
      <c r="H32" s="183"/>
      <c r="I32" s="185"/>
      <c r="L32" t="str">
        <f t="shared" ca="1" si="3"/>
        <v>b</v>
      </c>
      <c r="M32" t="str">
        <f>")"&amp;REPT(" ",2-K33)&amp;IF(K33=0," ","")</f>
        <v xml:space="preserve">) </v>
      </c>
      <c r="O32" s="194" t="s">
        <v>503</v>
      </c>
      <c r="P32" s="255">
        <f>D32</f>
        <v>0</v>
      </c>
      <c r="Q32" s="207">
        <f t="shared" si="4"/>
        <v>0</v>
      </c>
      <c r="R32" s="300" t="str">
        <f t="shared" ca="1" si="5"/>
        <v/>
      </c>
      <c r="S32" s="304"/>
      <c r="T32" s="149"/>
      <c r="U32" s="206">
        <f ca="1">IF(OR(AC$8=0,SUM(Z33:AC33)=0),1,IF(L32="l","",SUM(AB33:AC33)))</f>
        <v>1</v>
      </c>
      <c r="V32" s="385"/>
      <c r="W32" s="50"/>
      <c r="Z32"/>
    </row>
    <row r="33" spans="3:29" ht="15" customHeight="1" x14ac:dyDescent="0.15">
      <c r="C33" s="186"/>
      <c r="D33" s="205" t="s">
        <v>22</v>
      </c>
      <c r="E33" s="188" t="s">
        <v>389</v>
      </c>
      <c r="F33" s="226">
        <v>301.60000000000002</v>
      </c>
      <c r="G33" s="296" t="str">
        <f ca="1">IF(L33="b","",IF(L33="l",0,FIXED(F33,K33,0)&amp;M33))</f>
        <v xml:space="preserve">301.6  </v>
      </c>
      <c r="H33" s="187" t="s">
        <v>84</v>
      </c>
      <c r="I33" s="189" t="s">
        <v>390</v>
      </c>
      <c r="K33" s="215">
        <v>1</v>
      </c>
      <c r="L33" t="str">
        <f t="shared" ca="1" si="3"/>
        <v>v</v>
      </c>
      <c r="M33" t="str">
        <f>REPT(" ",3-K33)&amp;IF(K33=0," ","")</f>
        <v xml:space="preserve">  </v>
      </c>
      <c r="O33" s="194" t="s">
        <v>32</v>
      </c>
      <c r="P33" s="208" t="str">
        <f>IF(ISNUMBER(D33),LOOKUP(D33,$AB$5:$AC$7),D33)</f>
        <v>〃</v>
      </c>
      <c r="Q33" s="208" t="str">
        <f t="shared" si="4"/>
        <v>PF-S (28)</v>
      </c>
      <c r="R33" s="301" t="str">
        <f t="shared" ca="1" si="5"/>
        <v xml:space="preserve">301.6  </v>
      </c>
      <c r="S33" s="305" t="str">
        <f>H33</f>
        <v>ｍ</v>
      </c>
      <c r="T33" s="150">
        <v>102</v>
      </c>
      <c r="U33" s="216">
        <f ca="1">IF(L33="l","",IF(D33+F33&gt;0,SUM(Z33:AA33),-1))</f>
        <v>30763</v>
      </c>
      <c r="V33" s="386">
        <v>30</v>
      </c>
      <c r="W33" s="107"/>
      <c r="Z33" s="114">
        <f>IF(D33&gt;0,0,TRUNC(F33*T33+Y33*X33))</f>
        <v>30763</v>
      </c>
      <c r="AA33" t="b">
        <f>IF($D33=1,SUM(Z$13:Z31)-SUM(AA$13:AA31),IF($D33=2,$AA$6,IF($D33=3,TRUNC($AA$6,-3))))</f>
        <v>0</v>
      </c>
      <c r="AB33">
        <f ca="1">IF(OR(AC$8=0,L32="l",D33&gt;0,U33=-1),0,IF(L32="b",-U33,TRUNC(F32*T33)))</f>
        <v>0</v>
      </c>
      <c r="AC33" t="b">
        <f>IF($D33=1,SUM(AB$13:AB31)-SUM(AC$13:AC31),IF($D33=2,$AA$5,IF($D33=3,TRUNC($AA$5,-3))))</f>
        <v>0</v>
      </c>
    </row>
    <row r="34" spans="3:29" ht="15" customHeight="1" x14ac:dyDescent="0.15">
      <c r="C34" s="182"/>
      <c r="D34" s="210"/>
      <c r="E34" s="184"/>
      <c r="F34" s="227"/>
      <c r="G34" s="297" t="str">
        <f ca="1">IF(OR(AC$8=0,L34="b"),"",IF(L34="l",0,"("&amp;FIXED(-F34,K35,0)&amp;M34))</f>
        <v/>
      </c>
      <c r="H34" s="183"/>
      <c r="I34" s="185"/>
      <c r="L34" t="str">
        <f t="shared" ca="1" si="3"/>
        <v>b</v>
      </c>
      <c r="M34" t="str">
        <f>")"&amp;REPT(" ",2-K35)&amp;IF(K35=0," ","")</f>
        <v xml:space="preserve">)   </v>
      </c>
      <c r="O34" s="194" t="s">
        <v>33</v>
      </c>
      <c r="P34" s="207">
        <f>D34</f>
        <v>0</v>
      </c>
      <c r="Q34" s="207">
        <f t="shared" si="4"/>
        <v>0</v>
      </c>
      <c r="R34" s="300" t="str">
        <f t="shared" ca="1" si="5"/>
        <v/>
      </c>
      <c r="S34" s="304"/>
      <c r="T34" s="144"/>
      <c r="U34" s="206">
        <f ca="1">IF(OR(AC$8=0,SUM(Z35:AC35)=0),1,IF(L34="l","",SUM(AB35:AC35)))</f>
        <v>1</v>
      </c>
      <c r="V34" s="385"/>
      <c r="W34" s="50" t="str">
        <f ca="1">IF(OR(AC$8=0,SUM(Z35:AC35)=0),"",CONCATENATE("(",FIXED(-#REF!,0),")"))</f>
        <v/>
      </c>
      <c r="Y34">
        <f ca="1">SUM(AB29:AB33)</f>
        <v>0</v>
      </c>
      <c r="Z34"/>
    </row>
    <row r="35" spans="3:29" ht="15" customHeight="1" x14ac:dyDescent="0.15">
      <c r="C35" s="186"/>
      <c r="D35" s="205" t="s">
        <v>233</v>
      </c>
      <c r="E35" s="188" t="s">
        <v>14</v>
      </c>
      <c r="F35" s="226">
        <v>1</v>
      </c>
      <c r="G35" s="296" t="str">
        <f ca="1">IF(L35="b","",IF(L35="l",0,FIXED(F35,K35,0)&amp;M35))</f>
        <v xml:space="preserve">1    </v>
      </c>
      <c r="H35" s="187" t="s">
        <v>99</v>
      </c>
      <c r="I35" s="189"/>
      <c r="K35" s="215"/>
      <c r="L35" t="str">
        <f t="shared" ca="1" si="3"/>
        <v>v</v>
      </c>
      <c r="M35" t="str">
        <f>REPT(" ",3-K35)&amp;IF(K35=0," ","")</f>
        <v xml:space="preserve">    </v>
      </c>
      <c r="O35" s="194" t="s">
        <v>30</v>
      </c>
      <c r="P35" s="208" t="str">
        <f>IF(ISNUMBER(D35),LOOKUP(D35,$AB$5:$AC$7),D35)</f>
        <v>付  属  材  料</v>
      </c>
      <c r="Q35" s="208" t="str">
        <f t="shared" si="4"/>
        <v>上記材料費の 30％</v>
      </c>
      <c r="R35" s="301" t="str">
        <f t="shared" ca="1" si="5"/>
        <v xml:space="preserve">1    </v>
      </c>
      <c r="S35" s="305" t="str">
        <f>H35</f>
        <v>式</v>
      </c>
      <c r="T35" s="145"/>
      <c r="U35" s="216">
        <f ca="1">IF(L35="l","",IF(D35+F35&gt;0,SUM(Z35:AA35),-1))</f>
        <v>23802</v>
      </c>
      <c r="V35" s="386"/>
      <c r="W35" s="107" t="str">
        <f>TEXT(Y35," #,0×")&amp;TEXT(X35,"0.00＝")</f>
        <v xml:space="preserve"> 79,342×0.30＝</v>
      </c>
      <c r="X35">
        <f>VALUE(RIGHT(E35,4))</f>
        <v>0.3</v>
      </c>
      <c r="Y35" s="114">
        <f>SUM(Z29:Z33)</f>
        <v>79342</v>
      </c>
      <c r="Z35" s="114">
        <f>IF(D35&gt;0,0,TRUNC(F35*T35+Y35*X35))</f>
        <v>23802</v>
      </c>
      <c r="AA35" t="b">
        <f>IF($D35=1,SUM(Z$13:Z33)-SUM(AA$13:AA33),IF($D35=2,$AA$6,IF($D35=3,TRUNC($AA$6,-3))))</f>
        <v>0</v>
      </c>
      <c r="AB35">
        <f ca="1">IF(OR(AC$8=0,L34="l",D35&gt;0,U35=-1),0,IF(L34="b",-U35,TRUNC(F34*T35)))</f>
        <v>0</v>
      </c>
      <c r="AC35" t="b">
        <f>IF($D35=1,SUM(AB$13:AB33)-SUM(AC$13:AC33),IF($D35=2,$AA$5,IF($D35=3,TRUNC($AA$5,-3))))</f>
        <v>0</v>
      </c>
    </row>
    <row r="36" spans="3:29" ht="15" customHeight="1" x14ac:dyDescent="0.15">
      <c r="C36" s="182"/>
      <c r="D36" s="214"/>
      <c r="E36" s="184"/>
      <c r="F36" s="227"/>
      <c r="G36" s="297" t="str">
        <f ca="1">IF(OR(AC$8=0,L36="b"),"",IF(L36="l",0,"("&amp;FIXED(-F36,K37,0)&amp;M36))</f>
        <v/>
      </c>
      <c r="H36" s="183"/>
      <c r="I36" s="185"/>
      <c r="L36" t="str">
        <f t="shared" ca="1" si="3"/>
        <v>b</v>
      </c>
      <c r="M36" t="str">
        <f>")"&amp;REPT(" ",2-K37)&amp;IF(K37=0," ","")</f>
        <v xml:space="preserve">)   </v>
      </c>
      <c r="O36" s="194" t="s">
        <v>31</v>
      </c>
      <c r="P36" s="317">
        <f>D36</f>
        <v>0</v>
      </c>
      <c r="Q36" s="207">
        <f t="shared" si="4"/>
        <v>0</v>
      </c>
      <c r="R36" s="300" t="str">
        <f t="shared" ca="1" si="5"/>
        <v/>
      </c>
      <c r="S36" s="304"/>
      <c r="T36" s="144"/>
      <c r="U36" s="206">
        <f ca="1">IF(OR(AC$8=0,SUM(Z37:AC37)=0),1,IF(L36="l","",SUM(AB37:AC37)))</f>
        <v>1</v>
      </c>
      <c r="V36" s="385"/>
      <c r="W36" s="50"/>
      <c r="Z36"/>
    </row>
    <row r="37" spans="3:29" ht="15" customHeight="1" x14ac:dyDescent="0.15">
      <c r="C37" s="186"/>
      <c r="D37" s="213"/>
      <c r="E37" s="188"/>
      <c r="F37" s="226"/>
      <c r="G37" s="296" t="str">
        <f ca="1">IF(L37="b","",IF(L37="l",0,FIXED(F37,K37,0)&amp;M37))</f>
        <v/>
      </c>
      <c r="H37" s="187"/>
      <c r="I37" s="189"/>
      <c r="K37" s="215"/>
      <c r="L37" t="str">
        <f t="shared" ca="1" si="3"/>
        <v>b</v>
      </c>
      <c r="M37" t="str">
        <f>REPT(" ",3-K37)&amp;IF(K37=0," ","")</f>
        <v xml:space="preserve">    </v>
      </c>
      <c r="O37" s="194"/>
      <c r="P37" s="256">
        <f>IF(ISNUMBER(D37),LOOKUP(D37,$AB$5:$AC$7),D37)</f>
        <v>0</v>
      </c>
      <c r="Q37" s="208">
        <f t="shared" si="4"/>
        <v>0</v>
      </c>
      <c r="R37" s="301" t="str">
        <f t="shared" ca="1" si="5"/>
        <v/>
      </c>
      <c r="S37" s="305">
        <f>H37</f>
        <v>0</v>
      </c>
      <c r="T37" s="145"/>
      <c r="U37" s="216">
        <f ca="1">IF(L37="l","",IF(D37+F37&gt;0,SUM(Z37:AA37),-1))</f>
        <v>-1</v>
      </c>
      <c r="V37" s="386"/>
      <c r="W37" s="107"/>
      <c r="Z37" s="114">
        <f>IF(D37&gt;0,0,TRUNC(F37*T37+Y37*X37))</f>
        <v>0</v>
      </c>
      <c r="AA37" t="b">
        <f>IF($D37=1,SUM(Z$13:Z35)-SUM(AA$13:AA35),IF($D37=2,$AA$6,IF($D37=3,TRUNC($AA$6,-3))))</f>
        <v>0</v>
      </c>
      <c r="AB37">
        <f ca="1">IF(OR(AC$8=0,L36="l",D37&gt;0,U37=-1),0,IF(L36="b",-U37,TRUNC(F36*T37)))</f>
        <v>0</v>
      </c>
      <c r="AC37" t="b">
        <f>IF($D37=1,SUM(AB$13:AB35)-SUM(AC$13:AC35),IF($D37=2,$AA$5,IF($D37=3,TRUNC($AA$5,-3))))</f>
        <v>0</v>
      </c>
    </row>
    <row r="38" spans="3:29" ht="15" customHeight="1" x14ac:dyDescent="0.15">
      <c r="C38" s="182"/>
      <c r="D38" s="210"/>
      <c r="E38" s="184"/>
      <c r="F38" s="227"/>
      <c r="G38" s="297" t="str">
        <f ca="1">IF(OR(AC$8=0,L38="b"),"",IF(L38="l",0,"("&amp;FIXED(-F38,K39,0)&amp;M38))</f>
        <v/>
      </c>
      <c r="H38" s="183"/>
      <c r="I38" s="185"/>
      <c r="L38" t="str">
        <f ca="1">CELL("type",F38)</f>
        <v>b</v>
      </c>
      <c r="M38" t="str">
        <f>")"&amp;REPT(" ",2-K39)&amp;IF(K39=0," ","")</f>
        <v xml:space="preserve">)   </v>
      </c>
      <c r="O38" s="194"/>
      <c r="P38" s="207">
        <f>D38</f>
        <v>0</v>
      </c>
      <c r="Q38" s="207">
        <f>E38</f>
        <v>0</v>
      </c>
      <c r="R38" s="300" t="str">
        <f ca="1">G38</f>
        <v/>
      </c>
      <c r="S38" s="304"/>
      <c r="T38" s="144"/>
      <c r="U38" s="206">
        <f ca="1">IF(OR(AC$8=0,SUM(Z39:AC39)=0),1,IF(L38="l","",SUM(AB39:AC39)))</f>
        <v>1</v>
      </c>
      <c r="V38" s="398"/>
      <c r="W38" s="50"/>
      <c r="Z38"/>
    </row>
    <row r="39" spans="3:29" ht="15" customHeight="1" x14ac:dyDescent="0.15">
      <c r="C39" s="186"/>
      <c r="D39" s="205"/>
      <c r="E39" s="188"/>
      <c r="F39" s="226"/>
      <c r="G39" s="296" t="str">
        <f ca="1">IF(L39="b","",IF(L39="l",0,FIXED(F39,K39,0)&amp;M39))</f>
        <v/>
      </c>
      <c r="H39" s="187"/>
      <c r="I39" s="189"/>
      <c r="K39" s="215"/>
      <c r="L39" t="str">
        <f ca="1">CELL("type",F39)</f>
        <v>b</v>
      </c>
      <c r="M39" t="str">
        <f>REPT(" ",3-K39)&amp;IF(K39=0," ","")</f>
        <v xml:space="preserve">    </v>
      </c>
      <c r="O39" s="194"/>
      <c r="P39" s="208">
        <f>IF(ISNUMBER(D39),LOOKUP(D39,$AB$5:$AC$7),D39)</f>
        <v>0</v>
      </c>
      <c r="Q39" s="208">
        <f>E39</f>
        <v>0</v>
      </c>
      <c r="R39" s="301" t="str">
        <f ca="1">G39</f>
        <v/>
      </c>
      <c r="S39" s="305">
        <f>H39</f>
        <v>0</v>
      </c>
      <c r="T39" s="145"/>
      <c r="U39" s="216">
        <f ca="1">IF(L39="l","",IF(D39+F39&gt;0,SUM(Z39:AA39),-1))</f>
        <v>-1</v>
      </c>
      <c r="V39" s="399"/>
      <c r="W39" s="107"/>
      <c r="Z39" s="114">
        <f>IF(D39&gt;0,0,TRUNC(F39*T39+Y39*X39))</f>
        <v>0</v>
      </c>
      <c r="AA39" t="b">
        <f>IF($D39=1,SUM(Z$13:Z37)-SUM(AA$13:AA37),IF($D39=2,$AA$6,IF($D39=3,TRUNC($AA$6,-3))))</f>
        <v>0</v>
      </c>
      <c r="AB39">
        <f ca="1">IF(OR(AC$8=0,L38="l",D39&gt;0,U39=-1),0,IF(L38="b",-U39,TRUNC(F38*T39)))</f>
        <v>0</v>
      </c>
      <c r="AC39" t="b">
        <f>IF($D39=1,SUM(AB$13:AB37)-SUM(AC$13:AC37),IF($D39=2,$AA$5,IF($D39=3,TRUNC($AA$5,-3))))</f>
        <v>0</v>
      </c>
    </row>
    <row r="40" spans="3:29" ht="15" customHeight="1" x14ac:dyDescent="0.15">
      <c r="C40" s="182"/>
      <c r="D40" s="210"/>
      <c r="E40" s="184"/>
      <c r="F40" s="227"/>
      <c r="G40" s="297" t="str">
        <f ca="1">IF(OR(AC$8=0,L40="b"),"",IF(L40="l",0,"("&amp;FIXED(-F40,K41,0)&amp;M40))</f>
        <v/>
      </c>
      <c r="H40" s="183"/>
      <c r="I40" s="185"/>
      <c r="L40" t="str">
        <f t="shared" ca="1" si="3"/>
        <v>b</v>
      </c>
      <c r="M40" t="str">
        <f>")"&amp;REPT(" ",2-K41)&amp;IF(K41=0," ","")</f>
        <v xml:space="preserve">)   </v>
      </c>
      <c r="O40" s="194"/>
      <c r="P40" s="207">
        <f>D40</f>
        <v>0</v>
      </c>
      <c r="Q40" s="207">
        <f t="shared" si="4"/>
        <v>0</v>
      </c>
      <c r="R40" s="300" t="str">
        <f t="shared" ca="1" si="5"/>
        <v/>
      </c>
      <c r="S40" s="304"/>
      <c r="T40" s="144"/>
      <c r="U40" s="206">
        <f ca="1">IF(OR(AC$8=0,SUM(Z41:AC41)=0),1,IF(L40="l","",SUM(AB41:AC41)))</f>
        <v>1</v>
      </c>
      <c r="V40" s="398"/>
      <c r="W40" s="50"/>
      <c r="Z40"/>
    </row>
    <row r="41" spans="3:29" ht="15" customHeight="1" x14ac:dyDescent="0.15">
      <c r="C41" s="186"/>
      <c r="D41" s="205">
        <v>1</v>
      </c>
      <c r="E41" s="188"/>
      <c r="F41" s="226"/>
      <c r="G41" s="296" t="str">
        <f ca="1">IF(L41="b","",IF(L41="l",0,FIXED(F41,K41,0)&amp;M41))</f>
        <v/>
      </c>
      <c r="H41" s="187"/>
      <c r="I41" s="189"/>
      <c r="K41" s="215"/>
      <c r="L41" t="str">
        <f t="shared" ca="1" si="3"/>
        <v>b</v>
      </c>
      <c r="M41" t="str">
        <f>REPT(" ",3-K41)&amp;IF(K41=0," ","")</f>
        <v xml:space="preserve">    </v>
      </c>
      <c r="O41" s="194"/>
      <c r="P41" s="208" t="str">
        <f>IF(ISNUMBER(D41),LOOKUP(D41,$AB$5:$AC$7),D41)</f>
        <v>小    　計</v>
      </c>
      <c r="Q41" s="208">
        <f t="shared" si="4"/>
        <v>0</v>
      </c>
      <c r="R41" s="301" t="str">
        <f t="shared" ca="1" si="5"/>
        <v/>
      </c>
      <c r="S41" s="305">
        <f>H41</f>
        <v>0</v>
      </c>
      <c r="T41" s="145"/>
      <c r="U41" s="216">
        <f ca="1">IF(L41="l","",IF(D41+F41&gt;0,SUM(Z41:AA41),-1))</f>
        <v>103144</v>
      </c>
      <c r="V41" s="399"/>
      <c r="W41" s="107"/>
      <c r="Z41" s="114">
        <f>IF(D41&gt;0,0,TRUNC(F41*T41+Y41*X41))</f>
        <v>0</v>
      </c>
      <c r="AA41">
        <f>IF($D41=1,SUM(Z$13:Z39)-SUM(AA$13:AA39),IF($D41=2,$AA$6,IF($D41=3,TRUNC($AA$6,-3))))</f>
        <v>103144</v>
      </c>
      <c r="AB41">
        <f ca="1">IF(OR(AC$8=0,L40="l",D41&gt;0,U41=-1),0,IF(L40="b",-U41,TRUNC(F40*T41)))</f>
        <v>0</v>
      </c>
      <c r="AC41">
        <f ca="1">IF($D41=1,SUM(AB$13:AB39)-SUM(AC$13:AC39),IF($D41=2,$AA$5,IF($D41=3,TRUNC($AA$5,-3))))</f>
        <v>0</v>
      </c>
    </row>
    <row r="42" spans="3:29" ht="15" customHeight="1" x14ac:dyDescent="0.15">
      <c r="C42" s="182"/>
      <c r="D42" s="214" t="s">
        <v>20</v>
      </c>
      <c r="E42" s="184"/>
      <c r="F42" s="227"/>
      <c r="G42" s="297" t="str">
        <f ca="1">IF(OR(AC$8=0,L42="b"),"",IF(L42="l",0,"("&amp;FIXED(-F42,K43,0)&amp;M42))</f>
        <v/>
      </c>
      <c r="H42" s="183"/>
      <c r="I42" s="185"/>
      <c r="L42" t="str">
        <f t="shared" ca="1" si="3"/>
        <v>b</v>
      </c>
      <c r="M42" t="str">
        <f>")"&amp;REPT(" ",2-K43)&amp;IF(K43=0," ","")</f>
        <v xml:space="preserve">) </v>
      </c>
      <c r="O42" s="194"/>
      <c r="P42" s="317" t="str">
        <f>D42</f>
        <v xml:space="preserve">  合成樹脂製</v>
      </c>
      <c r="Q42" s="207">
        <f t="shared" si="4"/>
        <v>0</v>
      </c>
      <c r="R42" s="300" t="str">
        <f t="shared" ca="1" si="5"/>
        <v/>
      </c>
      <c r="S42" s="304"/>
      <c r="T42" s="144"/>
      <c r="U42" s="206">
        <f ca="1">IF(OR(AC$8=0,SUM(Z43:AC43)=0),1,IF(L42="l","",SUM(AB43:AC43)))</f>
        <v>1</v>
      </c>
      <c r="V42" s="385"/>
      <c r="W42" s="50"/>
      <c r="Z42"/>
    </row>
    <row r="43" spans="3:29" ht="15" customHeight="1" x14ac:dyDescent="0.15">
      <c r="C43" s="186" t="s">
        <v>504</v>
      </c>
      <c r="D43" s="213" t="s">
        <v>393</v>
      </c>
      <c r="E43" s="188" t="s">
        <v>461</v>
      </c>
      <c r="F43" s="226">
        <v>23.9</v>
      </c>
      <c r="G43" s="296" t="str">
        <f ca="1">IF(L43="b","",IF(L43="l",0,FIXED(F43,K43,0)&amp;M43))</f>
        <v xml:space="preserve">23.9  </v>
      </c>
      <c r="H43" s="187" t="s">
        <v>392</v>
      </c>
      <c r="I43" s="189" t="s">
        <v>387</v>
      </c>
      <c r="K43" s="215">
        <v>1</v>
      </c>
      <c r="L43" t="str">
        <f t="shared" ca="1" si="3"/>
        <v>v</v>
      </c>
      <c r="M43" t="str">
        <f>REPT(" ",3-K43)&amp;IF(K43=0," ","")</f>
        <v xml:space="preserve">  </v>
      </c>
      <c r="O43" s="194"/>
      <c r="P43" s="256" t="str">
        <f>IF(ISNUMBER(D43),LOOKUP(D43,$AB$5:$AC$7),D43)</f>
        <v>可とう電線管　</v>
      </c>
      <c r="Q43" s="208" t="str">
        <f t="shared" si="4"/>
        <v>PF-S (16)</v>
      </c>
      <c r="R43" s="301" t="str">
        <f t="shared" ca="1" si="5"/>
        <v xml:space="preserve">23.9  </v>
      </c>
      <c r="S43" s="305" t="str">
        <f>H43</f>
        <v>ｍ</v>
      </c>
      <c r="T43" s="145">
        <v>56</v>
      </c>
      <c r="U43" s="216">
        <f ca="1">IF(L43="l","",IF(D43+F43&gt;0,SUM(Z43:AA43),-1))</f>
        <v>1338</v>
      </c>
      <c r="V43" s="386">
        <v>28</v>
      </c>
      <c r="W43" s="107"/>
      <c r="Z43" s="114">
        <f>IF(D43&gt;0,0,TRUNC(F43*T43+Y43*X43))</f>
        <v>1338</v>
      </c>
      <c r="AA43" t="b">
        <f>IF($D43=1,SUM(Z$13:Z41)-SUM(AA$13:AA41),IF($D43=2,$AA$6,IF($D43=3,TRUNC($AA$6,-3))))</f>
        <v>0</v>
      </c>
      <c r="AB43">
        <f ca="1">IF(OR(AC$8=0,L42="l",D43&gt;0,U43=-1),0,IF(L42="b",-U43,TRUNC(F42*T43)))</f>
        <v>0</v>
      </c>
      <c r="AC43" t="b">
        <f>IF($D43=1,SUM(AB$13:AB41)-SUM(AC$13:AC41),IF($D43=2,$AA$5,IF($D43=3,TRUNC($AA$5,-3))))</f>
        <v>0</v>
      </c>
    </row>
    <row r="44" spans="3:29" ht="15" customHeight="1" x14ac:dyDescent="0.15">
      <c r="C44" s="182"/>
      <c r="D44" s="210"/>
      <c r="E44" s="184"/>
      <c r="F44" s="227"/>
      <c r="G44" s="297" t="str">
        <f ca="1">IF(OR(AC$8=0,L44="b"),"",IF(L44="l",0,"("&amp;FIXED(-F44,K45,0)&amp;M44))</f>
        <v/>
      </c>
      <c r="H44" s="183"/>
      <c r="I44" s="185"/>
      <c r="L44" t="str">
        <f t="shared" ca="1" si="3"/>
        <v>b</v>
      </c>
      <c r="M44" t="str">
        <f>")"&amp;REPT(" ",2-K45)&amp;IF(K45=0," ","")</f>
        <v xml:space="preserve">) </v>
      </c>
      <c r="O44" s="194" t="s">
        <v>15</v>
      </c>
      <c r="P44" s="207">
        <f>D44</f>
        <v>0</v>
      </c>
      <c r="Q44" s="207">
        <f t="shared" si="4"/>
        <v>0</v>
      </c>
      <c r="R44" s="300" t="str">
        <f t="shared" ca="1" si="5"/>
        <v/>
      </c>
      <c r="S44" s="304"/>
      <c r="T44" s="144"/>
      <c r="U44" s="206">
        <f ca="1">IF(OR(AC$8=0,SUM(Z45:AC45)=0),1,IF(L44="l","",SUM(AB45:AC45)))</f>
        <v>1</v>
      </c>
      <c r="V44" s="385"/>
      <c r="W44" s="50"/>
      <c r="Z44"/>
    </row>
    <row r="45" spans="3:29" ht="15" customHeight="1" x14ac:dyDescent="0.15">
      <c r="C45" s="186"/>
      <c r="D45" s="205" t="s">
        <v>22</v>
      </c>
      <c r="E45" s="188" t="s">
        <v>388</v>
      </c>
      <c r="F45" s="226">
        <v>32.5</v>
      </c>
      <c r="G45" s="296" t="str">
        <f ca="1">IF(L45="b","",IF(L45="l",0,FIXED(F45,K45,0)&amp;M45))</f>
        <v xml:space="preserve">32.5  </v>
      </c>
      <c r="H45" s="187" t="s">
        <v>55</v>
      </c>
      <c r="I45" s="189" t="s">
        <v>390</v>
      </c>
      <c r="K45" s="215">
        <v>1</v>
      </c>
      <c r="L45" t="str">
        <f t="shared" ca="1" si="3"/>
        <v>v</v>
      </c>
      <c r="M45" t="str">
        <f>REPT(" ",3-K45)&amp;IF(K45=0," ","")</f>
        <v xml:space="preserve">  </v>
      </c>
      <c r="O45" s="194" t="s">
        <v>19</v>
      </c>
      <c r="P45" s="208" t="str">
        <f>IF(ISNUMBER(D45),LOOKUP(D45,$AB$5:$AC$7),D45)</f>
        <v>〃</v>
      </c>
      <c r="Q45" s="208" t="str">
        <f t="shared" si="4"/>
        <v>PF-S (22)</v>
      </c>
      <c r="R45" s="301" t="str">
        <f t="shared" ca="1" si="5"/>
        <v xml:space="preserve">32.5  </v>
      </c>
      <c r="S45" s="305" t="str">
        <f>H45</f>
        <v>ｍ</v>
      </c>
      <c r="T45" s="145">
        <v>80</v>
      </c>
      <c r="U45" s="216">
        <f ca="1">IF(L45="l","",IF(D45+F45&gt;0,SUM(Z45:AA45),-1))</f>
        <v>2600</v>
      </c>
      <c r="V45" s="386">
        <v>29</v>
      </c>
      <c r="W45" s="107"/>
      <c r="Z45" s="114">
        <f>IF(D45&gt;0,0,TRUNC(F45*T45+Y45*X45))</f>
        <v>2600</v>
      </c>
      <c r="AA45" t="b">
        <f>IF($D45=1,SUM(Z$13:Z43)-SUM(AA$13:AA43),IF($D45=2,$AA$6,IF($D45=3,TRUNC($AA$6,-3))))</f>
        <v>0</v>
      </c>
      <c r="AB45">
        <f ca="1">IF(OR(AC$8=0,L44="l",D45&gt;0,U45=-1),0,IF(L44="b",-U45,TRUNC(F44*T45)))</f>
        <v>0</v>
      </c>
      <c r="AC45" t="b">
        <f>IF($D45=1,SUM(AB$13:AB43)-SUM(AC$13:AC43),IF($D45=2,$AA$5,IF($D45=3,TRUNC($AA$5,-3))))</f>
        <v>0</v>
      </c>
    </row>
    <row r="46" spans="3:29" ht="15" customHeight="1" x14ac:dyDescent="0.15">
      <c r="C46" s="182"/>
      <c r="D46" s="210"/>
      <c r="E46" s="184"/>
      <c r="F46" s="227"/>
      <c r="G46" s="297" t="str">
        <f ca="1">IF(OR(AC$8=0,L46="b"),"",IF(L46="l",0,"("&amp;FIXED(-F46,K47,0)&amp;M46))</f>
        <v/>
      </c>
      <c r="H46" s="183"/>
      <c r="I46" s="185"/>
      <c r="L46" t="str">
        <f t="shared" ca="1" si="3"/>
        <v>b</v>
      </c>
      <c r="M46" t="str">
        <f>")"&amp;REPT(" ",2-K47)&amp;IF(K47=0," ","")</f>
        <v xml:space="preserve">) </v>
      </c>
      <c r="O46" s="194" t="s">
        <v>451</v>
      </c>
      <c r="P46" s="207">
        <f>D46</f>
        <v>0</v>
      </c>
      <c r="Q46" s="207">
        <f t="shared" si="4"/>
        <v>0</v>
      </c>
      <c r="R46" s="300" t="str">
        <f t="shared" ca="1" si="5"/>
        <v/>
      </c>
      <c r="S46" s="304"/>
      <c r="T46" s="144"/>
      <c r="U46" s="206">
        <f ca="1">IF(OR(AC$8=0,SUM(Z47:AC47)=0),1,IF(L46="l","",SUM(AB47:AC47)))</f>
        <v>1</v>
      </c>
      <c r="V46" s="385"/>
      <c r="W46" s="50"/>
      <c r="Z46"/>
    </row>
    <row r="47" spans="3:29" ht="15" customHeight="1" x14ac:dyDescent="0.15">
      <c r="C47" s="186"/>
      <c r="D47" s="205" t="s">
        <v>22</v>
      </c>
      <c r="E47" s="188" t="s">
        <v>389</v>
      </c>
      <c r="F47" s="226">
        <v>3.3</v>
      </c>
      <c r="G47" s="296" t="str">
        <f ca="1">IF(L47="b","",IF(L47="l",0,FIXED(F47,K47,0)&amp;M47))</f>
        <v xml:space="preserve">3.3  </v>
      </c>
      <c r="H47" s="187" t="s">
        <v>55</v>
      </c>
      <c r="I47" s="189" t="s">
        <v>390</v>
      </c>
      <c r="K47" s="215">
        <v>1</v>
      </c>
      <c r="L47" t="str">
        <f t="shared" ca="1" si="3"/>
        <v>v</v>
      </c>
      <c r="M47" t="str">
        <f>REPT(" ",3-K47)&amp;IF(K47=0," ","")</f>
        <v xml:space="preserve">  </v>
      </c>
      <c r="O47" s="194" t="s">
        <v>508</v>
      </c>
      <c r="P47" s="208" t="str">
        <f>IF(ISNUMBER(D47),LOOKUP(D47,$AB$5:$AC$7),D47)</f>
        <v>〃</v>
      </c>
      <c r="Q47" s="208" t="str">
        <f t="shared" si="4"/>
        <v>PF-S (28)</v>
      </c>
      <c r="R47" s="301" t="str">
        <f t="shared" ca="1" si="5"/>
        <v xml:space="preserve">3.3  </v>
      </c>
      <c r="S47" s="305" t="str">
        <f>H47</f>
        <v>ｍ</v>
      </c>
      <c r="T47" s="145">
        <v>102</v>
      </c>
      <c r="U47" s="216">
        <f ca="1">IF(L47="l","",IF(D47+F47&gt;0,SUM(Z47:AA47),-1))</f>
        <v>336</v>
      </c>
      <c r="V47" s="386">
        <v>30</v>
      </c>
      <c r="W47" s="107"/>
      <c r="Z47" s="114">
        <f>IF(D47&gt;0,0,TRUNC(F47*T47+Y47*X47))</f>
        <v>336</v>
      </c>
      <c r="AA47" t="b">
        <f>IF($D47=1,SUM(Z$13:Z45)-SUM(AA$13:AA45),IF($D47=2,$AA$6,IF($D47=3,TRUNC($AA$6,-3))))</f>
        <v>0</v>
      </c>
      <c r="AB47">
        <f ca="1">IF(OR(AC$8=0,L46="l",D47&gt;0,U47=-1),0,IF(L46="b",-U47,TRUNC(F46*T47)))</f>
        <v>0</v>
      </c>
      <c r="AC47" t="b">
        <f>IF($D47=1,SUM(AB$13:AB45)-SUM(AC$13:AC45),IF($D47=2,$AA$5,IF($D47=3,TRUNC($AA$5,-3))))</f>
        <v>0</v>
      </c>
    </row>
    <row r="48" spans="3:29" ht="15" customHeight="1" x14ac:dyDescent="0.15">
      <c r="C48" s="182"/>
      <c r="D48" s="210"/>
      <c r="E48" s="184"/>
      <c r="F48" s="227"/>
      <c r="G48" s="297" t="str">
        <f ca="1">IF(OR(AC$8=0,L48="b"),"",IF(L48="l",0,"("&amp;FIXED(-F48,K49,0)&amp;M48))</f>
        <v/>
      </c>
      <c r="H48" s="183"/>
      <c r="I48" s="185"/>
      <c r="L48" t="str">
        <f t="shared" ca="1" si="3"/>
        <v>b</v>
      </c>
      <c r="M48" t="str">
        <f>")"&amp;REPT(" ",2-K49)&amp;IF(K49=0," ","")</f>
        <v xml:space="preserve">)   </v>
      </c>
      <c r="O48" s="194" t="s">
        <v>509</v>
      </c>
      <c r="P48" s="207">
        <f>D48</f>
        <v>0</v>
      </c>
      <c r="Q48" s="207">
        <f t="shared" si="4"/>
        <v>0</v>
      </c>
      <c r="R48" s="300" t="str">
        <f t="shared" ca="1" si="5"/>
        <v/>
      </c>
      <c r="S48" s="304"/>
      <c r="T48" s="144"/>
      <c r="U48" s="206">
        <f ca="1">IF(OR(AC$8=0,SUM(Z49:AC49)=0),1,IF(L48="l","",SUM(AB49:AC49)))</f>
        <v>1</v>
      </c>
      <c r="V48" s="385"/>
      <c r="W48" s="50" t="str">
        <f ca="1">IF(OR(AC$8=0,SUM(Z49:AC49)=0),"",CONCATENATE("(",FIXED(-#REF!,0),")"))</f>
        <v/>
      </c>
      <c r="Y48">
        <f ca="1">SUM(AB43:AB47)</f>
        <v>0</v>
      </c>
      <c r="Z48"/>
    </row>
    <row r="49" spans="3:29" ht="15" customHeight="1" x14ac:dyDescent="0.15">
      <c r="C49" s="186"/>
      <c r="D49" s="205" t="s">
        <v>233</v>
      </c>
      <c r="E49" s="188" t="s">
        <v>14</v>
      </c>
      <c r="F49" s="226">
        <v>1</v>
      </c>
      <c r="G49" s="296" t="str">
        <f ca="1">IF(L49="b","",IF(L49="l",0,FIXED(F49,K49,0)&amp;M49))</f>
        <v xml:space="preserve">1    </v>
      </c>
      <c r="H49" s="187" t="s">
        <v>99</v>
      </c>
      <c r="I49" s="189"/>
      <c r="K49" s="215"/>
      <c r="L49" t="str">
        <f t="shared" ca="1" si="3"/>
        <v>v</v>
      </c>
      <c r="M49" t="str">
        <f>REPT(" ",3-K49)&amp;IF(K49=0," ","")</f>
        <v xml:space="preserve">    </v>
      </c>
      <c r="O49" s="194" t="s">
        <v>510</v>
      </c>
      <c r="P49" s="208" t="str">
        <f>IF(ISNUMBER(D49),LOOKUP(D49,$AB$5:$AC$7),D49)</f>
        <v>付  属  材  料</v>
      </c>
      <c r="Q49" s="208" t="str">
        <f t="shared" si="4"/>
        <v>上記材料費の 30％</v>
      </c>
      <c r="R49" s="301" t="str">
        <f t="shared" ca="1" si="5"/>
        <v xml:space="preserve">1    </v>
      </c>
      <c r="S49" s="305" t="str">
        <f>H49</f>
        <v>式</v>
      </c>
      <c r="T49" s="145"/>
      <c r="U49" s="216">
        <f ca="1">IF(L49="l","",IF(D49+F49&gt;0,SUM(Z49:AA49),-1))</f>
        <v>1282</v>
      </c>
      <c r="V49" s="386"/>
      <c r="W49" s="107" t="str">
        <f>TEXT(Y49," #,0×")&amp;TEXT(X49,"0.00＝")</f>
        <v xml:space="preserve"> 4,274×0.30＝</v>
      </c>
      <c r="X49">
        <f>VALUE(RIGHT(E49,4))</f>
        <v>0.3</v>
      </c>
      <c r="Y49" s="114">
        <f>SUM(Z43:Z47)</f>
        <v>4274</v>
      </c>
      <c r="Z49" s="114">
        <f>IF(D49&gt;0,0,TRUNC(F49*T49+Y49*X49))</f>
        <v>1282</v>
      </c>
      <c r="AA49" t="b">
        <f>IF($D49=1,SUM(Z$13:Z47)-SUM(AA$13:AA47),IF($D49=2,$AA$6,IF($D49=3,TRUNC($AA$6,-3))))</f>
        <v>0</v>
      </c>
      <c r="AB49">
        <f ca="1">IF(OR(AC$8=0,L48="l",D49&gt;0,U49=-1),0,IF(L48="b",-U49,TRUNC(F48*T49)))</f>
        <v>0</v>
      </c>
      <c r="AC49" t="b">
        <f>IF($D49=1,SUM(AB$13:AB47)-SUM(AC$13:AC47),IF($D49=2,$AA$5,IF($D49=3,TRUNC($AA$5,-3))))</f>
        <v>0</v>
      </c>
    </row>
    <row r="50" spans="3:29" ht="15" customHeight="1" x14ac:dyDescent="0.15">
      <c r="C50" s="182"/>
      <c r="D50" s="210"/>
      <c r="E50" s="184" t="s">
        <v>512</v>
      </c>
      <c r="F50" s="227"/>
      <c r="G50" s="297" t="str">
        <f ca="1">IF(OR(AC$8=0,L50="b"),"",IF(L50="l",0,"("&amp;FIXED(-F50,K51,0)&amp;M50))</f>
        <v/>
      </c>
      <c r="H50" s="183"/>
      <c r="I50" s="185"/>
      <c r="L50" t="str">
        <f t="shared" ref="L50:L65" ca="1" si="6">CELL("type",F50)</f>
        <v>b</v>
      </c>
      <c r="M50" t="str">
        <f>")"&amp;REPT(" ",2-K51)&amp;IF(K51=0," ","")</f>
        <v xml:space="preserve">)   </v>
      </c>
      <c r="O50" s="194" t="s">
        <v>509</v>
      </c>
      <c r="P50" s="207">
        <f>D50</f>
        <v>0</v>
      </c>
      <c r="Q50" s="207" t="str">
        <f t="shared" ref="Q50:Q65" si="7">E50</f>
        <v>埋込用</v>
      </c>
      <c r="R50" s="300" t="str">
        <f t="shared" ref="R50:R65" ca="1" si="8">G50</f>
        <v/>
      </c>
      <c r="S50" s="304"/>
      <c r="T50" s="149"/>
      <c r="U50" s="206">
        <f ca="1">IF(OR(AC$8=0,SUM(Z51:AC51)=0),1,IF(L50="l","",SUM(AB51:AC51)))</f>
        <v>1</v>
      </c>
      <c r="V50" s="385"/>
      <c r="W50" s="50"/>
      <c r="Z50"/>
    </row>
    <row r="51" spans="3:29" ht="15" customHeight="1" x14ac:dyDescent="0.15">
      <c r="C51" s="186"/>
      <c r="D51" s="205" t="s">
        <v>505</v>
      </c>
      <c r="E51" s="188" t="s">
        <v>513</v>
      </c>
      <c r="F51" s="226">
        <v>14</v>
      </c>
      <c r="G51" s="296" t="str">
        <f ca="1">IF(L51="b","",IF(L51="l",0,FIXED(F51,K51,0)&amp;M51))</f>
        <v xml:space="preserve">14    </v>
      </c>
      <c r="H51" s="187" t="s">
        <v>23</v>
      </c>
      <c r="I51" s="189"/>
      <c r="K51" s="215"/>
      <c r="L51" t="str">
        <f t="shared" ca="1" si="6"/>
        <v>v</v>
      </c>
      <c r="M51" t="str">
        <f>REPT(" ",3-K51)&amp;IF(K51=0," ","")</f>
        <v xml:space="preserve">    </v>
      </c>
      <c r="O51" s="194" t="s">
        <v>511</v>
      </c>
      <c r="P51" s="208" t="str">
        <f>IF(ISNUMBER(D51),LOOKUP(D51,$AB$5:$AC$7),D51)</f>
        <v>コンクリートボックス</v>
      </c>
      <c r="Q51" s="208" t="str">
        <f t="shared" si="7"/>
        <v>四角中浅型</v>
      </c>
      <c r="R51" s="301" t="str">
        <f t="shared" ca="1" si="8"/>
        <v xml:space="preserve">14    </v>
      </c>
      <c r="S51" s="305" t="str">
        <f>H51</f>
        <v>個</v>
      </c>
      <c r="T51" s="150">
        <v>314</v>
      </c>
      <c r="U51" s="216">
        <f ca="1">IF(L51="l","",IF(D51+F51&gt;0,SUM(Z51:AA51),-1))</f>
        <v>4396</v>
      </c>
      <c r="V51" s="386">
        <v>238</v>
      </c>
      <c r="W51" s="107"/>
      <c r="Z51" s="114">
        <f>IF(D51&gt;0,0,TRUNC(F51*T51+Y51*X51))</f>
        <v>4396</v>
      </c>
      <c r="AA51" t="b">
        <f>IF($D51=1,SUM(Z$13:Z49)-SUM(AA$13:AA49),IF($D51=2,$AA$6,IF($D51=3,TRUNC($AA$6,-3))))</f>
        <v>0</v>
      </c>
      <c r="AB51">
        <f ca="1">IF(OR(AC$8=0,L50="l",D51&gt;0,U51=-1),0,IF(L50="b",-U51,TRUNC(F50*T51)))</f>
        <v>0</v>
      </c>
      <c r="AC51" t="b">
        <f>IF($D51=1,SUM(AB$13:AB49)-SUM(AC$13:AC49),IF($D51=2,$AA$5,IF($D51=3,TRUNC($AA$5,-3))))</f>
        <v>0</v>
      </c>
    </row>
    <row r="52" spans="3:29" ht="15" customHeight="1" x14ac:dyDescent="0.15">
      <c r="C52" s="182"/>
      <c r="D52" s="210"/>
      <c r="E52" s="184"/>
      <c r="F52" s="227"/>
      <c r="G52" s="297" t="str">
        <f ca="1">IF(OR(AC$8=0,L52="b"),"",IF(L52="l",0,"("&amp;FIXED(-F52,K53,0)&amp;M52))</f>
        <v/>
      </c>
      <c r="H52" s="183"/>
      <c r="I52" s="185"/>
      <c r="L52" t="str">
        <f t="shared" ca="1" si="6"/>
        <v>b</v>
      </c>
      <c r="M52" t="str">
        <f>")"&amp;REPT(" ",2-K53)&amp;IF(K53=0," ","")</f>
        <v xml:space="preserve">)   </v>
      </c>
      <c r="O52" s="194" t="s">
        <v>30</v>
      </c>
      <c r="P52" s="207">
        <f>D52</f>
        <v>0</v>
      </c>
      <c r="Q52" s="207">
        <f t="shared" si="7"/>
        <v>0</v>
      </c>
      <c r="R52" s="300" t="str">
        <f t="shared" ca="1" si="8"/>
        <v/>
      </c>
      <c r="S52" s="304"/>
      <c r="T52" s="144"/>
      <c r="U52" s="206">
        <f ca="1">IF(OR(AC$8=0,SUM(Z53:AC53)=0),1,IF(L52="l","",SUM(AB53:AC53)))</f>
        <v>1</v>
      </c>
      <c r="V52" s="385"/>
      <c r="W52" s="50"/>
      <c r="Z52"/>
    </row>
    <row r="53" spans="3:29" ht="15" customHeight="1" x14ac:dyDescent="0.15">
      <c r="C53" s="186"/>
      <c r="D53" s="205" t="s">
        <v>506</v>
      </c>
      <c r="E53" s="188" t="s">
        <v>514</v>
      </c>
      <c r="F53" s="226">
        <v>7</v>
      </c>
      <c r="G53" s="296" t="str">
        <f ca="1">IF(L53="b","",IF(L53="l",0,FIXED(F53,K53,0)&amp;M53))</f>
        <v xml:space="preserve">7    </v>
      </c>
      <c r="H53" s="187" t="s">
        <v>23</v>
      </c>
      <c r="I53" s="189"/>
      <c r="K53" s="215"/>
      <c r="L53" t="str">
        <f t="shared" ca="1" si="6"/>
        <v>v</v>
      </c>
      <c r="M53" t="str">
        <f>REPT(" ",3-K53)&amp;IF(K53=0," ","")</f>
        <v xml:space="preserve">    </v>
      </c>
      <c r="O53" s="194" t="s">
        <v>31</v>
      </c>
      <c r="P53" s="208" t="str">
        <f>IF(ISNUMBER(D53),LOOKUP(D53,$AB$5:$AC$7),D53)</f>
        <v>スイッチボックス</v>
      </c>
      <c r="Q53" s="208" t="str">
        <f t="shared" si="7"/>
        <v>塩ビ埋込1個用</v>
      </c>
      <c r="R53" s="301" t="str">
        <f t="shared" ca="1" si="8"/>
        <v xml:space="preserve">7    </v>
      </c>
      <c r="S53" s="305" t="str">
        <f>H53</f>
        <v>個</v>
      </c>
      <c r="T53" s="145">
        <v>173</v>
      </c>
      <c r="U53" s="216">
        <f ca="1">IF(L53="l","",IF(D53+F53&gt;0,SUM(Z53:AA53),-1))</f>
        <v>1211</v>
      </c>
      <c r="V53" s="386">
        <v>221</v>
      </c>
      <c r="W53" s="107"/>
      <c r="Z53" s="114">
        <f>IF(D53&gt;0,0,TRUNC(F53*T53+Y53*X53))</f>
        <v>1211</v>
      </c>
      <c r="AA53" t="b">
        <f>IF($D53=1,SUM(Z$13:Z51)-SUM(AA$13:AA51),IF($D53=2,$AA$6,IF($D53=3,TRUNC($AA$6,-3))))</f>
        <v>0</v>
      </c>
      <c r="AB53">
        <f ca="1">IF(OR(AC$8=0,L52="l",D53&gt;0,U53=-1),0,IF(L52="b",-U53,TRUNC(F52*T53)))</f>
        <v>0</v>
      </c>
      <c r="AC53" t="b">
        <f>IF($D53=1,SUM(AB$13:AB51)-SUM(AC$13:AC51),IF($D53=2,$AA$5,IF($D53=3,TRUNC($AA$5,-3))))</f>
        <v>0</v>
      </c>
    </row>
    <row r="54" spans="3:29" ht="15" customHeight="1" x14ac:dyDescent="0.15">
      <c r="C54" s="182"/>
      <c r="D54" s="210"/>
      <c r="E54" s="184"/>
      <c r="F54" s="227"/>
      <c r="G54" s="297" t="str">
        <f ca="1">IF(OR(AC$8=0,L54="b"),"",IF(L54="l",0,"("&amp;FIXED(-F54,K55,0)&amp;M54))</f>
        <v/>
      </c>
      <c r="H54" s="183"/>
      <c r="I54" s="185"/>
      <c r="L54" t="str">
        <f ca="1">CELL("type",F54)</f>
        <v>b</v>
      </c>
      <c r="M54" t="str">
        <f>")"&amp;REPT(" ",2-K55)&amp;IF(K55=0," ","")</f>
        <v xml:space="preserve">)   </v>
      </c>
      <c r="O54" s="194"/>
      <c r="P54" s="207">
        <f>D54</f>
        <v>0</v>
      </c>
      <c r="Q54" s="207">
        <f>E54</f>
        <v>0</v>
      </c>
      <c r="R54" s="300" t="str">
        <f ca="1">G54</f>
        <v/>
      </c>
      <c r="S54" s="304"/>
      <c r="T54" s="144"/>
      <c r="U54" s="206">
        <f ca="1">IF(OR(AC$8=0,SUM(Z55:AC55)=0),1,IF(L54="l","",SUM(AB55:AC55)))</f>
        <v>1</v>
      </c>
      <c r="V54" s="385"/>
      <c r="W54" s="50"/>
      <c r="Z54"/>
    </row>
    <row r="55" spans="3:29" ht="15" customHeight="1" x14ac:dyDescent="0.15">
      <c r="C55" s="186"/>
      <c r="D55" s="205"/>
      <c r="E55" s="188"/>
      <c r="F55" s="226"/>
      <c r="G55" s="296" t="str">
        <f ca="1">IF(L55="b","",IF(L55="l",0,FIXED(F55,K55,0)&amp;M55))</f>
        <v/>
      </c>
      <c r="H55" s="187"/>
      <c r="I55" s="189"/>
      <c r="K55" s="215"/>
      <c r="L55" t="str">
        <f ca="1">CELL("type",F55)</f>
        <v>b</v>
      </c>
      <c r="M55" t="str">
        <f>REPT(" ",3-K55)&amp;IF(K55=0," ","")</f>
        <v xml:space="preserve">    </v>
      </c>
      <c r="O55" s="194"/>
      <c r="P55" s="208">
        <f>IF(ISNUMBER(D55),LOOKUP(D55,$AB$5:$AC$7),D55)</f>
        <v>0</v>
      </c>
      <c r="Q55" s="208">
        <f>E55</f>
        <v>0</v>
      </c>
      <c r="R55" s="301" t="str">
        <f ca="1">G55</f>
        <v/>
      </c>
      <c r="S55" s="305">
        <f>H55</f>
        <v>0</v>
      </c>
      <c r="T55" s="145"/>
      <c r="U55" s="216">
        <f ca="1">IF(L55="l","",IF(D55+F55&gt;0,SUM(Z55:AA55),-1))</f>
        <v>-1</v>
      </c>
      <c r="V55" s="386"/>
      <c r="W55" s="107"/>
      <c r="Z55" s="114">
        <f>IF(D55&gt;0,0,TRUNC(F55*T55+Y55*X55))</f>
        <v>0</v>
      </c>
      <c r="AA55" t="b">
        <f>IF($D55=1,SUM(Z$13:Z53)-SUM(AA$13:AA53),IF($D55=2,$AA$6,IF($D55=3,TRUNC($AA$6,-3))))</f>
        <v>0</v>
      </c>
      <c r="AB55">
        <f ca="1">IF(OR(AC$8=0,L54="l",D55&gt;0,U55=-1),0,IF(L54="b",-U55,TRUNC(F54*T55)))</f>
        <v>0</v>
      </c>
      <c r="AC55" t="b">
        <f>IF($D55=1,SUM(AB$13:AB53)-SUM(AC$13:AC53),IF($D55=2,$AA$5,IF($D55=3,TRUNC($AA$5,-3))))</f>
        <v>0</v>
      </c>
    </row>
    <row r="56" spans="3:29" ht="15" customHeight="1" x14ac:dyDescent="0.15">
      <c r="C56" s="182"/>
      <c r="D56" s="210"/>
      <c r="E56" s="184"/>
      <c r="F56" s="227"/>
      <c r="G56" s="297" t="str">
        <f ca="1">IF(OR(AC$8=0,L56="b"),"",IF(L56="l",0,"("&amp;FIXED(-F56,K57,0)&amp;M56))</f>
        <v/>
      </c>
      <c r="H56" s="183"/>
      <c r="I56" s="185"/>
      <c r="L56" t="str">
        <f t="shared" ca="1" si="6"/>
        <v>b</v>
      </c>
      <c r="M56" t="str">
        <f>")"&amp;REPT(" ",2-K57)&amp;IF(K57=0," ","")</f>
        <v xml:space="preserve">)   </v>
      </c>
      <c r="O56" s="194"/>
      <c r="P56" s="207">
        <f>D56</f>
        <v>0</v>
      </c>
      <c r="Q56" s="207">
        <f t="shared" si="7"/>
        <v>0</v>
      </c>
      <c r="R56" s="300" t="str">
        <f t="shared" ca="1" si="8"/>
        <v/>
      </c>
      <c r="S56" s="304"/>
      <c r="T56" s="144"/>
      <c r="U56" s="206">
        <f ca="1">IF(OR(AC$8=0,SUM(Z57:AC57)=0),1,IF(L56="l","",SUM(AB57:AC57)))</f>
        <v>1</v>
      </c>
      <c r="V56" s="385"/>
      <c r="W56" s="50" t="str">
        <f ca="1">IF(OR(AC$8=0,SUM(Z57:AC57)=0),"",CONCATENATE("(",FIXED(-#REF!,0),")"))</f>
        <v/>
      </c>
      <c r="Z56"/>
    </row>
    <row r="57" spans="3:29" ht="15" customHeight="1" x14ac:dyDescent="0.15">
      <c r="C57" s="186"/>
      <c r="D57" s="205"/>
      <c r="E57" s="188"/>
      <c r="F57" s="226"/>
      <c r="G57" s="296" t="str">
        <f ca="1">IF(L57="b","",IF(L57="l",0,FIXED(F57,K57,0)&amp;M57))</f>
        <v/>
      </c>
      <c r="H57" s="187"/>
      <c r="I57" s="189"/>
      <c r="K57" s="215"/>
      <c r="L57" t="str">
        <f t="shared" ca="1" si="6"/>
        <v>b</v>
      </c>
      <c r="M57" t="str">
        <f>REPT(" ",3-K57)&amp;IF(K57=0," ","")</f>
        <v xml:space="preserve">    </v>
      </c>
      <c r="O57" s="194"/>
      <c r="P57" s="208">
        <f>IF(ISNUMBER(D57),LOOKUP(D57,$AB$5:$AC$7),D57)</f>
        <v>0</v>
      </c>
      <c r="Q57" s="208">
        <f t="shared" si="7"/>
        <v>0</v>
      </c>
      <c r="R57" s="301" t="str">
        <f t="shared" ca="1" si="8"/>
        <v/>
      </c>
      <c r="S57" s="305">
        <f>H57</f>
        <v>0</v>
      </c>
      <c r="T57" s="145"/>
      <c r="U57" s="216">
        <f ca="1">IF(L57="l","",IF(D57+F57&gt;0,SUM(Z57:AA57),-1))</f>
        <v>-1</v>
      </c>
      <c r="V57" s="386"/>
      <c r="W57" s="107"/>
      <c r="Y57" s="114"/>
      <c r="Z57" s="114">
        <f>IF(D57&gt;0,0,TRUNC(F57*T57+Y57*X57))</f>
        <v>0</v>
      </c>
      <c r="AA57" t="b">
        <f>IF($D57=1,SUM(Z$13:Z55)-SUM(AA$13:AA55),IF($D57=2,$AA$6,IF($D57=3,TRUNC($AA$6,-3))))</f>
        <v>0</v>
      </c>
      <c r="AB57">
        <f ca="1">IF(OR(AC$8=0,L56="l",D57&gt;0,U57=-1),0,IF(L56="b",-U57,TRUNC(F56*T57)))</f>
        <v>0</v>
      </c>
      <c r="AC57" t="b">
        <f>IF($D57=1,SUM(AB$13:AB55)-SUM(AC$13:AC55),IF($D57=2,$AA$5,IF($D57=3,TRUNC($AA$5,-3))))</f>
        <v>0</v>
      </c>
    </row>
    <row r="58" spans="3:29" ht="15" customHeight="1" x14ac:dyDescent="0.15">
      <c r="C58" s="182"/>
      <c r="D58" s="212"/>
      <c r="E58" s="184"/>
      <c r="F58" s="227"/>
      <c r="G58" s="297" t="str">
        <f ca="1">IF(OR(AC$8=0,L58="b"),"",IF(L58="l",0,"("&amp;FIXED(-F58,K59,0)&amp;M58))</f>
        <v/>
      </c>
      <c r="H58" s="183"/>
      <c r="I58" s="185"/>
      <c r="L58" t="str">
        <f t="shared" ca="1" si="6"/>
        <v>b</v>
      </c>
      <c r="M58" t="str">
        <f>")"&amp;REPT(" ",2-K59)&amp;IF(K59=0," ","")</f>
        <v xml:space="preserve">)   </v>
      </c>
      <c r="O58" s="194"/>
      <c r="P58" s="207">
        <f>D58</f>
        <v>0</v>
      </c>
      <c r="Q58" s="207">
        <f t="shared" si="7"/>
        <v>0</v>
      </c>
      <c r="R58" s="300" t="str">
        <f t="shared" ca="1" si="8"/>
        <v/>
      </c>
      <c r="S58" s="304"/>
      <c r="T58" s="144"/>
      <c r="U58" s="206">
        <f ca="1">IF(OR(AC$8=0,SUM(Z59:AC59)=0),1,IF(L58="l","",SUM(AB59:AC59)))</f>
        <v>1</v>
      </c>
      <c r="V58" s="385"/>
      <c r="W58" s="50" t="str">
        <f ca="1">IF(OR(AC$8=0,SUM(Z59:AC59)=0),"",CONCATENATE("(",FIXED(-#REF!,0),")"))</f>
        <v/>
      </c>
      <c r="Z58"/>
    </row>
    <row r="59" spans="3:29" ht="15" customHeight="1" x14ac:dyDescent="0.15">
      <c r="C59" s="186"/>
      <c r="D59" s="213">
        <v>1</v>
      </c>
      <c r="E59" s="188"/>
      <c r="F59" s="226"/>
      <c r="G59" s="296" t="str">
        <f ca="1">IF(L59="b","",IF(L59="l",0,FIXED(F59,K59,0)&amp;M59))</f>
        <v/>
      </c>
      <c r="H59" s="187"/>
      <c r="I59" s="189"/>
      <c r="K59" s="215"/>
      <c r="L59" t="str">
        <f t="shared" ca="1" si="6"/>
        <v>b</v>
      </c>
      <c r="M59" t="str">
        <f>REPT(" ",3-K59)&amp;IF(K59=0," ","")</f>
        <v xml:space="preserve">    </v>
      </c>
      <c r="O59" s="194"/>
      <c r="P59" s="208" t="str">
        <f>IF(ISNUMBER(D59),LOOKUP(D59,$AB$5:$AC$7),D59)</f>
        <v>小    　計</v>
      </c>
      <c r="Q59" s="208">
        <f t="shared" si="7"/>
        <v>0</v>
      </c>
      <c r="R59" s="301" t="str">
        <f t="shared" ca="1" si="8"/>
        <v/>
      </c>
      <c r="S59" s="305">
        <f>H59</f>
        <v>0</v>
      </c>
      <c r="T59" s="145"/>
      <c r="U59" s="216">
        <f ca="1">IF(L59="l","",IF(D59+F59&gt;0,SUM(Z59:AA59),-1))</f>
        <v>11163</v>
      </c>
      <c r="V59" s="386"/>
      <c r="W59" s="107"/>
      <c r="Y59" s="114"/>
      <c r="Z59" s="114">
        <f>IF(D59&gt;0,0,TRUNC(F59*T59+Y59*X59))</f>
        <v>0</v>
      </c>
      <c r="AA59">
        <f>IF($D59=1,SUM(Z$13:Z57)-SUM(AA$13:AA57),IF($D59=2,$AA$6,IF($D59=3,TRUNC($AA$6,-3))))</f>
        <v>11163</v>
      </c>
      <c r="AB59">
        <f ca="1">IF(OR(AC$8=0,L58="l",D59&gt;0,U59=-1),0,IF(L58="b",-U59,TRUNC(F58*T59)))</f>
        <v>0</v>
      </c>
      <c r="AC59">
        <f ca="1">IF($D59=1,SUM(AB$13:AB57)-SUM(AC$13:AC57),IF($D59=2,$AA$5,IF($D59=3,TRUNC($AA$5,-3))))</f>
        <v>0</v>
      </c>
    </row>
    <row r="60" spans="3:29" ht="15" customHeight="1" x14ac:dyDescent="0.15">
      <c r="C60" s="182"/>
      <c r="D60" s="210"/>
      <c r="E60" s="184"/>
      <c r="F60" s="227"/>
      <c r="G60" s="297" t="str">
        <f ca="1">IF(OR(AC$8=0,L60="b"),"",IF(L60="l",0,"("&amp;FIXED(-F60,K61,0)&amp;M60))</f>
        <v/>
      </c>
      <c r="H60" s="183"/>
      <c r="I60" s="185"/>
      <c r="L60" t="str">
        <f t="shared" ca="1" si="6"/>
        <v>b</v>
      </c>
      <c r="M60" t="str">
        <f>")"&amp;REPT(" ",2-K61)&amp;IF(K61=0," ","")</f>
        <v xml:space="preserve">) </v>
      </c>
      <c r="O60" s="194" t="s">
        <v>15</v>
      </c>
      <c r="P60" s="207">
        <f>D60</f>
        <v>0</v>
      </c>
      <c r="Q60" s="207">
        <f t="shared" si="7"/>
        <v>0</v>
      </c>
      <c r="R60" s="300" t="str">
        <f t="shared" ca="1" si="8"/>
        <v/>
      </c>
      <c r="S60" s="304"/>
      <c r="T60" s="144"/>
      <c r="U60" s="206">
        <f ca="1">IF(OR(AC$8=0,SUM(Z61:AC61)=0),1,IF(L60="l","",SUM(AB61:AC61)))</f>
        <v>1</v>
      </c>
      <c r="V60" s="385"/>
      <c r="W60" s="50"/>
      <c r="Z60"/>
    </row>
    <row r="61" spans="3:29" ht="15" customHeight="1" x14ac:dyDescent="0.15">
      <c r="C61" s="186" t="s">
        <v>517</v>
      </c>
      <c r="D61" s="205" t="s">
        <v>507</v>
      </c>
      <c r="E61" s="188"/>
      <c r="F61" s="226">
        <v>42.8</v>
      </c>
      <c r="G61" s="296" t="str">
        <f ca="1">IF(L61="b","",IF(L61="l",0,FIXED(F61,K61,0)&amp;M61))</f>
        <v xml:space="preserve">42.8  </v>
      </c>
      <c r="H61" s="187" t="s">
        <v>28</v>
      </c>
      <c r="I61" s="189"/>
      <c r="K61" s="215">
        <v>1</v>
      </c>
      <c r="L61" t="str">
        <f t="shared" ca="1" si="6"/>
        <v>v</v>
      </c>
      <c r="M61" t="str">
        <f>REPT(" ",3-K61)&amp;IF(K61=0," ","")</f>
        <v xml:space="preserve">  </v>
      </c>
      <c r="O61" s="194" t="s">
        <v>29</v>
      </c>
      <c r="P61" s="208" t="str">
        <f>IF(ISNUMBER(D61),LOOKUP(D61,$AB$5:$AC$7),D61)</f>
        <v>電　　　　　工</v>
      </c>
      <c r="Q61" s="208">
        <f t="shared" si="7"/>
        <v>0</v>
      </c>
      <c r="R61" s="301" t="str">
        <f t="shared" ca="1" si="8"/>
        <v xml:space="preserve">42.8  </v>
      </c>
      <c r="S61" s="305" t="str">
        <f>H61</f>
        <v>人</v>
      </c>
      <c r="T61" s="145">
        <v>17100</v>
      </c>
      <c r="U61" s="216">
        <f ca="1">IF(L61="l","",IF(D61+F61&gt;0,SUM(Z61:AA61),-1))</f>
        <v>731880</v>
      </c>
      <c r="V61" s="386" t="s">
        <v>404</v>
      </c>
      <c r="W61" s="107"/>
      <c r="Z61" s="114">
        <f>IF(D61&gt;0,0,TRUNC(F61*T61+Y61*X61))</f>
        <v>731880</v>
      </c>
      <c r="AA61" t="b">
        <f>IF($D61=1,SUM(Z$13:Z59)-SUM(AA$13:AA59),IF($D61=2,$AA$6,IF($D61=3,TRUNC($AA$6,-3))))</f>
        <v>0</v>
      </c>
      <c r="AB61">
        <f ca="1">IF(OR(AC$8=0,L60="l",D61&gt;0,U61=-1),0,IF(L60="b",-U61,TRUNC(F60*T61)))</f>
        <v>0</v>
      </c>
      <c r="AC61" t="b">
        <f>IF($D61=1,SUM(AB$13:AB59)-SUM(AC$13:AC59),IF($D61=2,$AA$5,IF($D61=3,TRUNC($AA$5,-3))))</f>
        <v>0</v>
      </c>
    </row>
    <row r="62" spans="3:29" ht="15" customHeight="1" x14ac:dyDescent="0.15">
      <c r="C62" s="182"/>
      <c r="D62" s="214"/>
      <c r="E62" s="184"/>
      <c r="F62" s="227"/>
      <c r="G62" s="297" t="str">
        <f ca="1">IF(OR(AC$8=0,L62="b"),"",IF(L62="l",0,"("&amp;FIXED(-F62,K63,0)&amp;M62))</f>
        <v/>
      </c>
      <c r="H62" s="183"/>
      <c r="I62" s="185"/>
      <c r="L62" t="str">
        <f t="shared" ca="1" si="6"/>
        <v>b</v>
      </c>
      <c r="M62" t="str">
        <f>")"&amp;REPT(" ",2-K63)&amp;IF(K63=0," ","")</f>
        <v xml:space="preserve">)   </v>
      </c>
      <c r="O62" s="194" t="s">
        <v>30</v>
      </c>
      <c r="P62" s="207">
        <f>D62</f>
        <v>0</v>
      </c>
      <c r="Q62" s="207">
        <f t="shared" si="7"/>
        <v>0</v>
      </c>
      <c r="R62" s="300" t="str">
        <f t="shared" ca="1" si="8"/>
        <v/>
      </c>
      <c r="S62" s="304"/>
      <c r="T62" s="144"/>
      <c r="U62" s="206">
        <f ca="1">IF(OR(AC$8=0,SUM(Z63:AC63)=0),1,IF(L62="l","",SUM(AB63:AC63)))</f>
        <v>1</v>
      </c>
      <c r="V62" s="385"/>
      <c r="W62" s="50"/>
      <c r="Z62"/>
    </row>
    <row r="63" spans="3:29" ht="15" customHeight="1" x14ac:dyDescent="0.15">
      <c r="C63" s="186"/>
      <c r="D63" s="213"/>
      <c r="E63" s="188"/>
      <c r="F63" s="226"/>
      <c r="G63" s="296" t="str">
        <f ca="1">IF(L63="b","",IF(L63="l",0,FIXED(F63,K63,0)&amp;M63))</f>
        <v/>
      </c>
      <c r="H63" s="187"/>
      <c r="I63" s="189"/>
      <c r="K63" s="215"/>
      <c r="L63" t="str">
        <f t="shared" ca="1" si="6"/>
        <v>b</v>
      </c>
      <c r="M63" t="str">
        <f>REPT(" ",3-K63)&amp;IF(K63=0," ","")</f>
        <v xml:space="preserve">    </v>
      </c>
      <c r="O63" s="194" t="s">
        <v>31</v>
      </c>
      <c r="P63" s="208">
        <f>IF(ISNUMBER(D63),LOOKUP(D63,$AB$5:$AC$7),D63)</f>
        <v>0</v>
      </c>
      <c r="Q63" s="208">
        <f t="shared" si="7"/>
        <v>0</v>
      </c>
      <c r="R63" s="301" t="str">
        <f t="shared" ca="1" si="8"/>
        <v/>
      </c>
      <c r="S63" s="305">
        <f>H63</f>
        <v>0</v>
      </c>
      <c r="T63" s="145"/>
      <c r="U63" s="216">
        <f ca="1">IF(L63="l","",IF(D63+F63&gt;0,SUM(Z63:AA63),-1))</f>
        <v>-1</v>
      </c>
      <c r="V63" s="386"/>
      <c r="W63" s="107"/>
      <c r="Z63" s="114">
        <f>IF(D63&gt;0,0,TRUNC(F63*T63+Y63*X63))</f>
        <v>0</v>
      </c>
      <c r="AA63" t="b">
        <f>IF($D63=1,SUM(Z$13:Z61)-SUM(AA$13:AA61),IF($D63=2,$AA$6,IF($D63=3,TRUNC($AA$6,-3))))</f>
        <v>0</v>
      </c>
      <c r="AB63">
        <f ca="1">IF(OR(AC$8=0,L62="l",D63&gt;0,U63=-1),0,IF(L62="b",-U63,TRUNC(F62*T63)))</f>
        <v>0</v>
      </c>
      <c r="AC63" t="b">
        <f>IF($D63=1,SUM(AB$13:AB61)-SUM(AC$13:AC61),IF($D63=2,$AA$5,IF($D63=3,TRUNC($AA$5,-3))))</f>
        <v>0</v>
      </c>
    </row>
    <row r="64" spans="3:29" ht="15" customHeight="1" x14ac:dyDescent="0.15">
      <c r="C64" s="182"/>
      <c r="D64" s="210"/>
      <c r="E64" s="184"/>
      <c r="F64" s="227"/>
      <c r="G64" s="297" t="str">
        <f ca="1">IF(OR(AC$8=0,L64="b"),"",IF(L64="l",0,"("&amp;FIXED(-F64,K65,0)&amp;M64))</f>
        <v/>
      </c>
      <c r="H64" s="183"/>
      <c r="I64" s="185"/>
      <c r="L64" t="str">
        <f t="shared" ca="1" si="6"/>
        <v>b</v>
      </c>
      <c r="M64" t="str">
        <f>")"&amp;REPT(" ",2-K65)&amp;IF(K65=0," ","")</f>
        <v xml:space="preserve">)   </v>
      </c>
      <c r="O64" s="194" t="s">
        <v>515</v>
      </c>
      <c r="P64" s="207">
        <f>D64</f>
        <v>0</v>
      </c>
      <c r="Q64" s="207">
        <f t="shared" si="7"/>
        <v>0</v>
      </c>
      <c r="R64" s="300" t="str">
        <f t="shared" ca="1" si="8"/>
        <v/>
      </c>
      <c r="S64" s="304"/>
      <c r="T64" s="144"/>
      <c r="U64" s="206">
        <f ca="1">IF(OR(AC$8=0,SUM(Z65:AC65)=0),1,IF(L64="l","",SUM(AB65:AC65)))</f>
        <v>1</v>
      </c>
      <c r="V64" s="385"/>
      <c r="W64" s="50"/>
      <c r="Z64"/>
    </row>
    <row r="65" spans="1:29" ht="15" customHeight="1" x14ac:dyDescent="0.15">
      <c r="C65" s="186"/>
      <c r="D65" s="205">
        <v>1</v>
      </c>
      <c r="E65" s="188"/>
      <c r="F65" s="226"/>
      <c r="G65" s="296" t="str">
        <f ca="1">IF(L65="b","",IF(L65="l",0,FIXED(F65,K65,0)&amp;M65))</f>
        <v/>
      </c>
      <c r="H65" s="187"/>
      <c r="I65" s="189"/>
      <c r="K65" s="215"/>
      <c r="L65" t="str">
        <f t="shared" ca="1" si="6"/>
        <v>b</v>
      </c>
      <c r="M65" t="str">
        <f>REPT(" ",3-K65)&amp;IF(K65=0," ","")</f>
        <v xml:space="preserve">    </v>
      </c>
      <c r="O65" s="194" t="s">
        <v>516</v>
      </c>
      <c r="P65" s="208" t="str">
        <f>IF(ISNUMBER(D65),LOOKUP(D65,$AB$5:$AC$7),D65)</f>
        <v>小    　計</v>
      </c>
      <c r="Q65" s="208">
        <f t="shared" si="7"/>
        <v>0</v>
      </c>
      <c r="R65" s="301" t="str">
        <f t="shared" ca="1" si="8"/>
        <v/>
      </c>
      <c r="S65" s="305">
        <f>H65</f>
        <v>0</v>
      </c>
      <c r="T65" s="145"/>
      <c r="U65" s="216">
        <f ca="1">IF(L65="l","",IF(D65+F65&gt;0,SUM(Z65:AA65),-1))</f>
        <v>731880</v>
      </c>
      <c r="V65" s="386"/>
      <c r="W65" s="107"/>
      <c r="Z65" s="114">
        <f>IF(D65&gt;0,0,TRUNC(F65*T65+Y65*X65))</f>
        <v>0</v>
      </c>
      <c r="AA65">
        <f>IF($D65=1,SUM(Z$13:Z63)-SUM(AA$13:AA63),IF($D65=2,$AA$6,IF($D65=3,TRUNC($AA$6,-3))))</f>
        <v>731880</v>
      </c>
      <c r="AB65">
        <f ca="1">IF(OR(AC$8=0,L64="l",D65&gt;0,U65=-1),0,IF(L64="b",-U65,TRUNC(F64*T65)))</f>
        <v>0</v>
      </c>
      <c r="AC65">
        <f ca="1">IF($D65=1,SUM(AB$13:AB63)-SUM(AC$13:AC63),IF($D65=2,$AA$5,IF($D65=3,TRUNC($AA$5,-3))))</f>
        <v>0</v>
      </c>
    </row>
    <row r="66" spans="1:29" ht="15" customHeight="1" x14ac:dyDescent="0.15">
      <c r="C66" s="182"/>
      <c r="D66" s="210"/>
      <c r="E66" s="184"/>
      <c r="F66" s="227"/>
      <c r="G66" s="297" t="str">
        <f ca="1">IF(OR(AC$8=0,L66="b"),"",IF(L66="l",0,"("&amp;FIXED(-F66,K67,0)&amp;M66))</f>
        <v/>
      </c>
      <c r="H66" s="183"/>
      <c r="I66" s="185"/>
      <c r="L66" t="str">
        <f t="shared" ref="L66:L73" ca="1" si="9">CELL("type",F66)</f>
        <v>b</v>
      </c>
      <c r="M66" t="str">
        <f>")"&amp;REPT(" ",2-K67)&amp;IF(K67=0," ","")</f>
        <v xml:space="preserve">)   </v>
      </c>
      <c r="O66" s="194"/>
      <c r="P66" s="207">
        <f>D66</f>
        <v>0</v>
      </c>
      <c r="Q66" s="207">
        <f>E66</f>
        <v>0</v>
      </c>
      <c r="R66" s="300" t="str">
        <f t="shared" ref="R66:R73" ca="1" si="10">G66</f>
        <v/>
      </c>
      <c r="S66" s="304"/>
      <c r="T66" s="144"/>
      <c r="U66" s="206">
        <f ca="1">IF(OR(AC$8=0,SUM(Z67:AC67)=0),1,IF(L66="l","",SUM(AB67:AC67)))</f>
        <v>1</v>
      </c>
      <c r="V66" s="385"/>
      <c r="W66" s="50"/>
      <c r="Z66"/>
    </row>
    <row r="67" spans="1:29" ht="15" customHeight="1" x14ac:dyDescent="0.15">
      <c r="C67" s="186"/>
      <c r="D67" s="205"/>
      <c r="E67" s="188"/>
      <c r="F67" s="226"/>
      <c r="G67" s="296" t="str">
        <f ca="1">IF(L67="b","",IF(L67="l",0,FIXED(F67,K67,0)&amp;M67))</f>
        <v/>
      </c>
      <c r="H67" s="187"/>
      <c r="I67" s="189"/>
      <c r="K67" s="215"/>
      <c r="L67" t="str">
        <f t="shared" ca="1" si="9"/>
        <v>b</v>
      </c>
      <c r="M67" t="str">
        <f>REPT(" ",3-K67)&amp;IF(K67=0," ","")</f>
        <v xml:space="preserve">    </v>
      </c>
      <c r="O67" s="194"/>
      <c r="P67" s="208">
        <f>IF(ISNUMBER(D67),LOOKUP(D67,$AB$5:$AC$7),D67)</f>
        <v>0</v>
      </c>
      <c r="Q67" s="208">
        <f t="shared" ref="Q67:Q73" si="11">E67</f>
        <v>0</v>
      </c>
      <c r="R67" s="301" t="str">
        <f t="shared" ca="1" si="10"/>
        <v/>
      </c>
      <c r="S67" s="305">
        <f>H67</f>
        <v>0</v>
      </c>
      <c r="T67" s="145"/>
      <c r="U67" s="216">
        <f ca="1">IF(L67="l","",IF(D67+F67&gt;0,SUM(Z67:AA67),-1))</f>
        <v>-1</v>
      </c>
      <c r="V67" s="386"/>
      <c r="W67" s="107"/>
      <c r="Z67" s="114">
        <f>IF(D67&gt;0,0,TRUNC(F67*T67+Y67*X67))</f>
        <v>0</v>
      </c>
      <c r="AA67" t="b">
        <f>IF($D67=1,SUM(Z$13:Z65)-SUM(AA$13:AA65),IF($D67=2,$AA$6,IF($D67=3,TRUNC($AA$6,-3))))</f>
        <v>0</v>
      </c>
      <c r="AB67">
        <f ca="1">IF(OR(AC$8=0,L66="l",D67&gt;0,U67=-1),0,IF(L66="b",-U67,TRUNC(F66*T67)))</f>
        <v>0</v>
      </c>
      <c r="AC67" t="b">
        <f>IF($D67=1,SUM(AB$13:AB65)-SUM(AC$13:AC65),IF($D67=2,$AA$5,IF($D67=3,TRUNC($AA$5,-3))))</f>
        <v>0</v>
      </c>
    </row>
    <row r="68" spans="1:29" ht="15" customHeight="1" x14ac:dyDescent="0.15">
      <c r="C68" s="182"/>
      <c r="D68" s="214"/>
      <c r="E68" s="184"/>
      <c r="F68" s="227"/>
      <c r="G68" s="297" t="str">
        <f ca="1">IF(OR(AC$8=0,L68="b"),"",IF(L68="l",0,"("&amp;FIXED(-F68,K69,0)&amp;M68))</f>
        <v/>
      </c>
      <c r="H68" s="183"/>
      <c r="I68" s="185"/>
      <c r="L68" t="str">
        <f t="shared" ca="1" si="9"/>
        <v>b</v>
      </c>
      <c r="M68" t="str">
        <f>")"&amp;REPT(" ",2-K69)&amp;IF(K69=0," ","")</f>
        <v xml:space="preserve">)   </v>
      </c>
      <c r="O68" s="194"/>
      <c r="P68" s="207">
        <f>D68</f>
        <v>0</v>
      </c>
      <c r="Q68" s="207">
        <f t="shared" si="11"/>
        <v>0</v>
      </c>
      <c r="R68" s="300" t="str">
        <f t="shared" ca="1" si="10"/>
        <v/>
      </c>
      <c r="S68" s="304"/>
      <c r="T68" s="144"/>
      <c r="U68" s="206">
        <f ca="1">IF(OR(AC$8=0,SUM(Z69:AC69)=0),1,IF(L68="l","",SUM(AB69:AC69)))</f>
        <v>1</v>
      </c>
      <c r="V68" s="385"/>
      <c r="W68" s="50"/>
      <c r="Z68"/>
    </row>
    <row r="69" spans="1:29" ht="15" customHeight="1" x14ac:dyDescent="0.15">
      <c r="C69" s="186"/>
      <c r="D69" s="475">
        <v>2</v>
      </c>
      <c r="E69" s="188"/>
      <c r="F69" s="226"/>
      <c r="G69" s="296" t="str">
        <f ca="1">IF(L69="b","",IF(L69="l",0,FIXED(F69,K69,0)&amp;M69))</f>
        <v/>
      </c>
      <c r="H69" s="187"/>
      <c r="I69" s="189"/>
      <c r="K69" s="215"/>
      <c r="L69" t="str">
        <f t="shared" ca="1" si="9"/>
        <v>b</v>
      </c>
      <c r="M69" t="str">
        <f>REPT(" ",3-K69)&amp;IF(K69=0," ","")</f>
        <v xml:space="preserve">    </v>
      </c>
      <c r="O69" s="194"/>
      <c r="P69" s="208" t="str">
        <f>IF(ISNUMBER(D69),LOOKUP(D69,$AB$5:$AC$7),D69)</f>
        <v>合　　　計</v>
      </c>
      <c r="Q69" s="208">
        <f t="shared" si="11"/>
        <v>0</v>
      </c>
      <c r="R69" s="301" t="str">
        <f t="shared" ca="1" si="10"/>
        <v/>
      </c>
      <c r="S69" s="305">
        <f>H69</f>
        <v>0</v>
      </c>
      <c r="T69" s="145"/>
      <c r="U69" s="216">
        <f ca="1">IF(L69="l","",IF(D69+F69&gt;0,SUM(Z69:AA69),-1))</f>
        <v>851080</v>
      </c>
      <c r="V69" s="386"/>
      <c r="W69" s="107"/>
      <c r="Z69" s="114">
        <f>IF(D69&gt;0,0,TRUNC(F69*T69+Y69*X69))</f>
        <v>0</v>
      </c>
      <c r="AA69">
        <f ca="1">IF($D69=1,SUM(Z$13:Z67)-SUM(AA$13:AA67),IF($D69=2,$AA$6,IF($D69=3,TRUNC($AA$6,-3))))</f>
        <v>851080</v>
      </c>
      <c r="AB69">
        <f ca="1">IF(OR(AC$8=0,L68="l",D69&gt;0,U69=-1),0,IF(L68="b",-U69,TRUNC(F68*T69)))</f>
        <v>0</v>
      </c>
      <c r="AC69">
        <f ca="1">IF($D69=1,SUM(AB$13:AB67)-SUM(AC$13:AC67),IF($D69=2,$AA$5,IF($D69=3,TRUNC($AA$5,-3))))</f>
        <v>0</v>
      </c>
    </row>
    <row r="70" spans="1:29" ht="15" customHeight="1" x14ac:dyDescent="0.15">
      <c r="C70" s="182"/>
      <c r="D70" s="214"/>
      <c r="E70" s="184"/>
      <c r="F70" s="227"/>
      <c r="G70" s="297" t="str">
        <f ca="1">IF(OR(AC$8=0,L70="b"),"",IF(L70="l",0,"("&amp;FIXED(-F70,K71,0)&amp;M70))</f>
        <v/>
      </c>
      <c r="H70" s="183"/>
      <c r="I70" s="185"/>
      <c r="L70" t="str">
        <f t="shared" ca="1" si="9"/>
        <v>b</v>
      </c>
      <c r="M70" t="str">
        <f>")"&amp;REPT(" ",2-K71)&amp;IF(K71=0," ","")</f>
        <v xml:space="preserve">)   </v>
      </c>
      <c r="O70" s="194"/>
      <c r="P70" s="207">
        <f>D70</f>
        <v>0</v>
      </c>
      <c r="Q70" s="207">
        <f t="shared" si="11"/>
        <v>0</v>
      </c>
      <c r="R70" s="300" t="str">
        <f t="shared" ca="1" si="10"/>
        <v/>
      </c>
      <c r="S70" s="304"/>
      <c r="T70" s="144"/>
      <c r="U70" s="206">
        <f ca="1">IF(OR(AC$8=0,SUM(Z71:AC71)=0),1,IF(L70="l","",SUM(AB71:AC71)))</f>
        <v>1</v>
      </c>
      <c r="V70" s="385"/>
      <c r="W70" s="50"/>
      <c r="Z70"/>
    </row>
    <row r="71" spans="1:29" ht="15" customHeight="1" x14ac:dyDescent="0.15">
      <c r="C71" s="186"/>
      <c r="D71" s="475">
        <v>3</v>
      </c>
      <c r="E71" s="188"/>
      <c r="F71" s="226"/>
      <c r="G71" s="296" t="str">
        <f ca="1">IF(L71="b","",IF(L71="l",0,FIXED(F71,K71,0)&amp;M71))</f>
        <v/>
      </c>
      <c r="H71" s="187"/>
      <c r="I71" s="189"/>
      <c r="K71" s="215"/>
      <c r="L71" t="str">
        <f t="shared" ca="1" si="9"/>
        <v>b</v>
      </c>
      <c r="M71" t="str">
        <f>REPT(" ",3-K71)&amp;IF(K71=0," ","")</f>
        <v xml:space="preserve">    </v>
      </c>
      <c r="O71" s="194"/>
      <c r="P71" s="208" t="str">
        <f>IF(ISNUMBER(D71),LOOKUP(D71,$AB$5:$AC$7),D71)</f>
        <v>改　　　め</v>
      </c>
      <c r="Q71" s="208">
        <f t="shared" si="11"/>
        <v>0</v>
      </c>
      <c r="R71" s="301" t="str">
        <f t="shared" ca="1" si="10"/>
        <v/>
      </c>
      <c r="S71" s="305">
        <f>H71</f>
        <v>0</v>
      </c>
      <c r="T71" s="145"/>
      <c r="U71" s="216">
        <f ca="1">IF(L71="l","",IF(D71+F71&gt;0,SUM(Z71:AA71),-1))</f>
        <v>851000</v>
      </c>
      <c r="V71" s="386"/>
      <c r="W71" s="107"/>
      <c r="Z71" s="114">
        <f>IF(D71&gt;0,0,TRUNC(F71*T71+Y71*X71))</f>
        <v>0</v>
      </c>
      <c r="AA71">
        <f ca="1">IF($D71=1,SUM(Z$13:Z69)-SUM(AA$13:AA69),IF($D71=2,$AA$6,IF($D71=3,TRUNC($AA$6,-3))))</f>
        <v>851000</v>
      </c>
      <c r="AB71">
        <f ca="1">IF(OR(AC$8=0,L70="l",D71&gt;0,U71=-1),0,IF(L70="b",-U71,TRUNC(F70*T71)))</f>
        <v>0</v>
      </c>
      <c r="AC71">
        <f ca="1">IF($D71=1,SUM(AB$13:AB69)-SUM(AC$13:AC69),IF($D71=2,$AA$5,IF($D71=3,TRUNC($AA$5,-3))))</f>
        <v>0</v>
      </c>
    </row>
    <row r="72" spans="1:29" ht="15" customHeight="1" x14ac:dyDescent="0.15">
      <c r="C72" s="182"/>
      <c r="D72" s="214"/>
      <c r="E72" s="184"/>
      <c r="F72" s="227"/>
      <c r="G72" s="297" t="str">
        <f ca="1">IF(OR(AC$8=0,L72="b"),"",IF(L72="l",0,"("&amp;FIXED(-F72,K73,0)&amp;M72))</f>
        <v/>
      </c>
      <c r="H72" s="183"/>
      <c r="I72" s="185"/>
      <c r="L72" t="str">
        <f t="shared" ca="1" si="9"/>
        <v>b</v>
      </c>
      <c r="M72" t="str">
        <f>")"&amp;REPT(" ",2-K73)&amp;IF(K73=0," ","")</f>
        <v xml:space="preserve">)   </v>
      </c>
      <c r="O72" s="194"/>
      <c r="P72" s="207">
        <f>D72</f>
        <v>0</v>
      </c>
      <c r="Q72" s="207">
        <f t="shared" si="11"/>
        <v>0</v>
      </c>
      <c r="R72" s="300" t="str">
        <f t="shared" ca="1" si="10"/>
        <v/>
      </c>
      <c r="S72" s="304"/>
      <c r="T72" s="144"/>
      <c r="U72" s="206">
        <f ca="1">IF(OR(AC$8=0,SUM(Z73:AC73)=0),1,IF(L72="l","",SUM(AB73:AC73)))</f>
        <v>1</v>
      </c>
      <c r="V72" s="385"/>
      <c r="W72" s="50"/>
      <c r="Z72"/>
    </row>
    <row r="73" spans="1:29" ht="15" customHeight="1" thickBot="1" x14ac:dyDescent="0.2">
      <c r="C73" s="190"/>
      <c r="D73" s="476"/>
      <c r="E73" s="192"/>
      <c r="F73" s="228"/>
      <c r="G73" s="298" t="str">
        <f ca="1">IF(L73="b","",IF(L73="l",0,FIXED(F73,K73,0)&amp;M73))</f>
        <v/>
      </c>
      <c r="H73" s="191"/>
      <c r="I73" s="193"/>
      <c r="K73" s="215"/>
      <c r="L73" t="str">
        <f t="shared" ca="1" si="9"/>
        <v>b</v>
      </c>
      <c r="M73" t="str">
        <f>REPT(" ",3-K73)&amp;IF(K73=0," ","")</f>
        <v xml:space="preserve">    </v>
      </c>
      <c r="O73" s="254"/>
      <c r="P73" s="209">
        <f>IF(ISNUMBER(D73),LOOKUP(D73,$AB$5:$AC$7),D73)</f>
        <v>0</v>
      </c>
      <c r="Q73" s="209">
        <f t="shared" si="11"/>
        <v>0</v>
      </c>
      <c r="R73" s="302" t="str">
        <f t="shared" ca="1" si="10"/>
        <v/>
      </c>
      <c r="S73" s="306">
        <f>H73</f>
        <v>0</v>
      </c>
      <c r="T73" s="146"/>
      <c r="U73" s="217">
        <f ca="1">IF(L73="l","",IF(D73+F73&gt;0,SUM(Z73:AA73),-1))</f>
        <v>-1</v>
      </c>
      <c r="V73" s="389"/>
      <c r="W73" s="55"/>
      <c r="Z73" s="114">
        <f>IF(D73&gt;0,0,TRUNC(F73*T73+Y73*X73))</f>
        <v>0</v>
      </c>
      <c r="AA73" t="b">
        <f>IF($D73=1,SUM(Z$13:Z71)-SUM(AA$13:AA71),IF($D73=2,$AA$6,IF($D73=3,TRUNC($AA$6,-3))))</f>
        <v>0</v>
      </c>
      <c r="AB73">
        <f ca="1">IF(OR(AC$8=0,L72="l",D73&gt;0,U73=-1),0,IF(L72="b",-U73,TRUNC(F72*T73)))</f>
        <v>0</v>
      </c>
      <c r="AC73" t="b">
        <f>IF($D73=1,SUM(AB$13:AB71)-SUM(AC$13:AC71),IF($D73=2,$AA$5,IF($D73=3,TRUNC($AA$5,-3))))</f>
        <v>0</v>
      </c>
    </row>
    <row r="74" spans="1:29" ht="13.5" customHeight="1" thickBot="1" x14ac:dyDescent="0.2">
      <c r="A74" s="257" t="b">
        <f>SUM(F79:F141)&gt;0</f>
        <v>0</v>
      </c>
      <c r="B74" s="257"/>
      <c r="C74" s="257"/>
      <c r="D74" s="257"/>
      <c r="E74" s="257"/>
      <c r="F74" s="257"/>
      <c r="G74" s="100" t="s">
        <v>396</v>
      </c>
      <c r="H74" s="257"/>
      <c r="I74" s="257" t="str">
        <f>"( "&amp;FIXED(SUM(A$8:A74),0)&amp;" ／ "&amp;FIXED(B$8,0)&amp;" )"</f>
        <v>( 1 ／ 1 )</v>
      </c>
      <c r="J74" s="257"/>
      <c r="K74" s="257"/>
      <c r="L74" s="257"/>
      <c r="M74" s="257"/>
      <c r="N74" s="257"/>
      <c r="O74" s="257"/>
      <c r="P74" s="257"/>
      <c r="Q74" s="257"/>
      <c r="R74" s="257"/>
      <c r="S74" s="257"/>
      <c r="T74" s="257"/>
      <c r="U74" s="258" t="str">
        <f>G74</f>
        <v>電気設備(土木工事)</v>
      </c>
      <c r="V74" s="390"/>
      <c r="W74" s="464" t="str">
        <f>I74</f>
        <v>( 1 ／ 1 )</v>
      </c>
      <c r="Z74"/>
    </row>
    <row r="75" spans="1:29" ht="13.5" customHeight="1" x14ac:dyDescent="0.15">
      <c r="C75" s="16"/>
      <c r="D75" s="102"/>
      <c r="E75" s="102"/>
      <c r="F75" s="18"/>
      <c r="G75" s="102"/>
      <c r="H75" s="102"/>
      <c r="I75" s="48"/>
      <c r="O75" s="780" t="s">
        <v>258</v>
      </c>
      <c r="P75" s="47"/>
      <c r="Q75" s="47"/>
      <c r="R75" s="102"/>
      <c r="S75" s="47"/>
      <c r="T75" s="109" t="s">
        <v>88</v>
      </c>
      <c r="U75" s="110"/>
      <c r="V75" s="781" t="s">
        <v>257</v>
      </c>
      <c r="W75" s="48"/>
    </row>
    <row r="76" spans="1:29" ht="13.5" customHeight="1" x14ac:dyDescent="0.15">
      <c r="C76" s="24" t="s">
        <v>222</v>
      </c>
      <c r="D76" s="6" t="s">
        <v>223</v>
      </c>
      <c r="E76" s="7" t="s">
        <v>224</v>
      </c>
      <c r="F76" s="25"/>
      <c r="G76" s="6" t="s">
        <v>105</v>
      </c>
      <c r="H76" s="6" t="s">
        <v>92</v>
      </c>
      <c r="I76" s="69" t="s">
        <v>225</v>
      </c>
      <c r="O76" s="752"/>
      <c r="P76" s="6" t="s">
        <v>89</v>
      </c>
      <c r="Q76" s="6" t="s">
        <v>90</v>
      </c>
      <c r="R76" s="7" t="s">
        <v>91</v>
      </c>
      <c r="S76" s="6" t="s">
        <v>92</v>
      </c>
      <c r="T76" s="6" t="s">
        <v>93</v>
      </c>
      <c r="U76" s="6" t="s">
        <v>94</v>
      </c>
      <c r="V76" s="782"/>
      <c r="W76" s="106" t="s">
        <v>226</v>
      </c>
      <c r="Z76"/>
    </row>
    <row r="77" spans="1:29" ht="13.5" customHeight="1" thickBot="1" x14ac:dyDescent="0.2">
      <c r="C77" s="71"/>
      <c r="D77" s="40"/>
      <c r="E77" s="40"/>
      <c r="F77" s="36"/>
      <c r="G77" s="40"/>
      <c r="H77" s="40"/>
      <c r="I77" s="52"/>
      <c r="M77" t="s">
        <v>227</v>
      </c>
      <c r="O77" s="753"/>
      <c r="P77" s="39"/>
      <c r="Q77" s="39"/>
      <c r="R77" s="40"/>
      <c r="S77" s="39"/>
      <c r="T77" s="56" t="s">
        <v>96</v>
      </c>
      <c r="U77" s="56" t="s">
        <v>96</v>
      </c>
      <c r="V77" s="783"/>
      <c r="W77" s="52"/>
    </row>
    <row r="78" spans="1:29" ht="15" customHeight="1" thickTop="1" x14ac:dyDescent="0.15">
      <c r="C78" s="182"/>
      <c r="D78" s="214"/>
      <c r="E78" s="184"/>
      <c r="F78" s="227"/>
      <c r="G78" s="297" t="str">
        <f ca="1">IF(OR(AC$8=0,L78="b"),"",IF(L78="l",0,"("&amp;FIXED(-F78,K79,0)&amp;M78))</f>
        <v/>
      </c>
      <c r="H78" s="183"/>
      <c r="I78" s="185"/>
      <c r="L78" t="str">
        <f t="shared" ref="L78:L87" ca="1" si="12">CELL("type",F78)</f>
        <v>b</v>
      </c>
      <c r="M78" t="str">
        <f>")"&amp;REPT(" ",2-K79)&amp;IF(K79=0," ","")</f>
        <v xml:space="preserve">)   </v>
      </c>
      <c r="O78" s="182"/>
      <c r="P78" s="317">
        <f>D78</f>
        <v>0</v>
      </c>
      <c r="Q78" s="207">
        <f t="shared" ref="Q78:Q87" si="13">E78</f>
        <v>0</v>
      </c>
      <c r="R78" s="300" t="str">
        <f t="shared" ref="R78:R87" ca="1" si="14">G78</f>
        <v/>
      </c>
      <c r="S78" s="304"/>
      <c r="T78" s="144"/>
      <c r="U78" s="206">
        <f ca="1">IF(OR(AC$8=0,SUM(Z79:AC79)=0),1,IF(L78="l","",SUM(AB79:AC79)))</f>
        <v>1</v>
      </c>
      <c r="V78" s="385"/>
      <c r="W78" s="50"/>
      <c r="Z78"/>
    </row>
    <row r="79" spans="1:29" ht="15" customHeight="1" x14ac:dyDescent="0.15">
      <c r="C79" s="186"/>
      <c r="D79" s="213"/>
      <c r="E79" s="188"/>
      <c r="F79" s="226"/>
      <c r="G79" s="296" t="str">
        <f ca="1">IF(L79="b","",IF(L79="l",0,FIXED(F79,K79,0)&amp;M79))</f>
        <v/>
      </c>
      <c r="H79" s="187"/>
      <c r="I79" s="189"/>
      <c r="K79" s="215"/>
      <c r="L79" t="str">
        <f t="shared" ca="1" si="12"/>
        <v>b</v>
      </c>
      <c r="M79" t="str">
        <f>REPT(" ",3-K79)&amp;IF(K79=0," ","")</f>
        <v xml:space="preserve">    </v>
      </c>
      <c r="O79" s="182"/>
      <c r="P79" s="256">
        <f>IF(ISNUMBER(D79),LOOKUP(D79,$AB$5:$AC$7),D79)</f>
        <v>0</v>
      </c>
      <c r="Q79" s="208">
        <f t="shared" si="13"/>
        <v>0</v>
      </c>
      <c r="R79" s="301" t="str">
        <f t="shared" ca="1" si="14"/>
        <v/>
      </c>
      <c r="S79" s="305">
        <f>H79</f>
        <v>0</v>
      </c>
      <c r="T79" s="145"/>
      <c r="U79" s="216">
        <f ca="1">IF(L79="l","",IF(D79+F79&gt;0,SUM(Z79:AA79),-1))</f>
        <v>-1</v>
      </c>
      <c r="V79" s="386"/>
      <c r="W79" s="107"/>
      <c r="Z79" s="114">
        <f>IF(D79&gt;0,0,TRUNC(F79*T79+Y79*X79))</f>
        <v>0</v>
      </c>
      <c r="AA79" t="b">
        <f>IF($D79=1,SUM(Z$13:Z77)-SUM(AA$13:AA77),IF($D79=2,$AA$6,IF($D79=3,TRUNC($AA$6,-3))))</f>
        <v>0</v>
      </c>
      <c r="AB79">
        <f ca="1">IF(OR(AC$8=0,L78="l",D79&gt;0,U79=-1),0,IF(L78="b",-U79,TRUNC(F78*T79)))</f>
        <v>0</v>
      </c>
      <c r="AC79" t="b">
        <f>IF($D79=1,SUM(AB$13:AB77)-SUM(AC$13:AC77),IF($D79=2,$AA$5,IF($D79=3,TRUNC($AA$5,-3))))</f>
        <v>0</v>
      </c>
    </row>
    <row r="80" spans="1:29" ht="15" customHeight="1" x14ac:dyDescent="0.15">
      <c r="C80" s="182"/>
      <c r="D80" s="210"/>
      <c r="E80" s="184"/>
      <c r="F80" s="227"/>
      <c r="G80" s="297" t="str">
        <f ca="1">IF(OR(AC$8=0,L80="b"),"",IF(L80="l",0,"("&amp;FIXED(-F80,K81,0)&amp;M80))</f>
        <v/>
      </c>
      <c r="H80" s="183"/>
      <c r="I80" s="185"/>
      <c r="L80" t="str">
        <f t="shared" ca="1" si="12"/>
        <v>b</v>
      </c>
      <c r="M80" t="str">
        <f>")"&amp;REPT(" ",2-K81)&amp;IF(K81=0," ","")</f>
        <v xml:space="preserve">)   </v>
      </c>
      <c r="O80" s="194"/>
      <c r="P80" s="207">
        <f>D80</f>
        <v>0</v>
      </c>
      <c r="Q80" s="207">
        <f t="shared" si="13"/>
        <v>0</v>
      </c>
      <c r="R80" s="300" t="str">
        <f t="shared" ca="1" si="14"/>
        <v/>
      </c>
      <c r="S80" s="304"/>
      <c r="T80" s="144"/>
      <c r="U80" s="206">
        <f ca="1">IF(OR(AC$8=0,SUM(Z81:AC81)=0),1,IF(L80="l","",SUM(AB81:AC81)))</f>
        <v>1</v>
      </c>
      <c r="V80" s="385"/>
      <c r="W80" s="50"/>
      <c r="Z80"/>
    </row>
    <row r="81" spans="3:29" ht="15" customHeight="1" x14ac:dyDescent="0.15">
      <c r="C81" s="186"/>
      <c r="D81" s="205"/>
      <c r="E81" s="188"/>
      <c r="F81" s="226"/>
      <c r="G81" s="296" t="str">
        <f ca="1">IF(L81="b","",IF(L81="l",0,FIXED(F81,K81,0)&amp;M81))</f>
        <v/>
      </c>
      <c r="H81" s="187"/>
      <c r="I81" s="189"/>
      <c r="K81" s="215"/>
      <c r="L81" t="str">
        <f t="shared" ca="1" si="12"/>
        <v>b</v>
      </c>
      <c r="M81" t="str">
        <f>REPT(" ",3-K81)&amp;IF(K81=0," ","")</f>
        <v xml:space="preserve">    </v>
      </c>
      <c r="O81" s="194"/>
      <c r="P81" s="208">
        <f>IF(ISNUMBER(D81),LOOKUP(D81,$AB$5:$AC$7),D81)</f>
        <v>0</v>
      </c>
      <c r="Q81" s="208">
        <f t="shared" si="13"/>
        <v>0</v>
      </c>
      <c r="R81" s="301" t="str">
        <f t="shared" ca="1" si="14"/>
        <v/>
      </c>
      <c r="S81" s="305">
        <f>H81</f>
        <v>0</v>
      </c>
      <c r="T81" s="145"/>
      <c r="U81" s="216">
        <f ca="1">IF(L81="l","",IF(D81+F81&gt;0,SUM(Z81:AA81),-1))</f>
        <v>-1</v>
      </c>
      <c r="V81" s="386"/>
      <c r="W81" s="107"/>
      <c r="Y81" s="114"/>
      <c r="Z81" s="114">
        <f>IF(D81&gt;0,0,TRUNC(F81*T81+Y81*X81))</f>
        <v>0</v>
      </c>
      <c r="AA81" t="b">
        <f>IF($D81=1,SUM(Z$13:Z79)-SUM(AA$13:AA79),IF($D81=2,$AA$6,IF($D81=3,TRUNC($AA$6,-3))))</f>
        <v>0</v>
      </c>
      <c r="AB81">
        <f ca="1">IF(OR(AC$8=0,L80="l",D81&gt;0,U81=-1),0,IF(L80="b",-U81,TRUNC(F80*T81)))</f>
        <v>0</v>
      </c>
      <c r="AC81" t="b">
        <f>IF($D81=1,SUM(AB$13:AB79)-SUM(AC$13:AC79),IF($D81=2,$AA$5,IF($D81=3,TRUNC($AA$5,-3))))</f>
        <v>0</v>
      </c>
    </row>
    <row r="82" spans="3:29" ht="15" customHeight="1" x14ac:dyDescent="0.15">
      <c r="C82" s="182"/>
      <c r="D82" s="210"/>
      <c r="E82" s="184"/>
      <c r="F82" s="227"/>
      <c r="G82" s="297" t="str">
        <f ca="1">IF(OR(AC$8=0,L82="b"),"",IF(L82="l",0,"("&amp;FIXED(-F82,K83,0)&amp;M82))</f>
        <v/>
      </c>
      <c r="H82" s="183"/>
      <c r="I82" s="185"/>
      <c r="L82" t="str">
        <f t="shared" ca="1" si="12"/>
        <v>b</v>
      </c>
      <c r="M82" t="str">
        <f>")"&amp;REPT(" ",2-K83)&amp;IF(K83=0," ","")</f>
        <v xml:space="preserve">)   </v>
      </c>
      <c r="O82" s="194"/>
      <c r="P82" s="207">
        <f>D82</f>
        <v>0</v>
      </c>
      <c r="Q82" s="207">
        <f t="shared" si="13"/>
        <v>0</v>
      </c>
      <c r="R82" s="300" t="str">
        <f t="shared" ca="1" si="14"/>
        <v/>
      </c>
      <c r="S82" s="304"/>
      <c r="T82" s="144"/>
      <c r="U82" s="206">
        <f ca="1">IF(OR(AC$8=0,SUM(Z83:AC83)=0),1,IF(L82="l","",SUM(AB83:AC83)))</f>
        <v>1</v>
      </c>
      <c r="V82" s="385"/>
      <c r="W82" s="50"/>
      <c r="Z82"/>
    </row>
    <row r="83" spans="3:29" ht="15" customHeight="1" x14ac:dyDescent="0.15">
      <c r="C83" s="186"/>
      <c r="D83" s="205"/>
      <c r="E83" s="188"/>
      <c r="F83" s="226"/>
      <c r="G83" s="296" t="str">
        <f ca="1">IF(L83="b","",IF(L83="l",0,FIXED(F83,K83,0)&amp;M83))</f>
        <v/>
      </c>
      <c r="H83" s="187"/>
      <c r="I83" s="189"/>
      <c r="K83" s="215"/>
      <c r="L83" t="str">
        <f t="shared" ca="1" si="12"/>
        <v>b</v>
      </c>
      <c r="M83" t="str">
        <f>REPT(" ",3-K83)&amp;IF(K83=0," ","")</f>
        <v xml:space="preserve">    </v>
      </c>
      <c r="O83" s="194"/>
      <c r="P83" s="208">
        <f>IF(ISNUMBER(D83),LOOKUP(D83,$AB$5:$AC$7),D83)</f>
        <v>0</v>
      </c>
      <c r="Q83" s="208">
        <f t="shared" si="13"/>
        <v>0</v>
      </c>
      <c r="R83" s="301" t="str">
        <f t="shared" ca="1" si="14"/>
        <v/>
      </c>
      <c r="S83" s="305">
        <f>H83</f>
        <v>0</v>
      </c>
      <c r="T83" s="145"/>
      <c r="U83" s="216">
        <f ca="1">IF(L83="l","",IF(D83+F83&gt;0,SUM(Z83:AA83),-1))</f>
        <v>-1</v>
      </c>
      <c r="V83" s="386"/>
      <c r="W83" s="107"/>
      <c r="Z83" s="114">
        <f>IF(D83&gt;0,0,TRUNC(F83*T83+Y83*X83))</f>
        <v>0</v>
      </c>
      <c r="AA83" t="b">
        <f>IF($D83=1,SUM(Z$13:Z81)-SUM(AA$13:AA81),IF($D83=2,$AA$6,IF($D83=3,TRUNC($AA$6,-3))))</f>
        <v>0</v>
      </c>
      <c r="AB83">
        <f ca="1">IF(OR(AC$8=0,L82="l",D83&gt;0,U83=-1),0,IF(L82="b",-U83,TRUNC(F82*T83)))</f>
        <v>0</v>
      </c>
      <c r="AC83" t="b">
        <f>IF($D83=1,SUM(AB$13:AB81)-SUM(AC$13:AC81),IF($D83=2,$AA$5,IF($D83=3,TRUNC($AA$5,-3))))</f>
        <v>0</v>
      </c>
    </row>
    <row r="84" spans="3:29" ht="15" customHeight="1" x14ac:dyDescent="0.15">
      <c r="C84" s="182"/>
      <c r="D84" s="210"/>
      <c r="E84" s="184"/>
      <c r="F84" s="227"/>
      <c r="G84" s="297" t="str">
        <f ca="1">IF(OR(AC$8=0,L84="b"),"",IF(L84="l",0,"("&amp;FIXED(-F84,K85,0)&amp;M84))</f>
        <v/>
      </c>
      <c r="H84" s="183"/>
      <c r="I84" s="185"/>
      <c r="L84" t="str">
        <f t="shared" ca="1" si="12"/>
        <v>b</v>
      </c>
      <c r="M84" t="str">
        <f>")"&amp;REPT(" ",2-K85)&amp;IF(K85=0," ","")</f>
        <v xml:space="preserve">)   </v>
      </c>
      <c r="O84" s="194"/>
      <c r="P84" s="207">
        <f>D84</f>
        <v>0</v>
      </c>
      <c r="Q84" s="207">
        <f t="shared" si="13"/>
        <v>0</v>
      </c>
      <c r="R84" s="300" t="str">
        <f t="shared" ca="1" si="14"/>
        <v/>
      </c>
      <c r="S84" s="304"/>
      <c r="T84" s="144"/>
      <c r="U84" s="206">
        <f ca="1">IF(OR(AC$8=0,SUM(Z85:AC85)=0),1,IF(L84="l","",SUM(AB85:AC85)))</f>
        <v>1</v>
      </c>
      <c r="V84" s="385"/>
      <c r="W84" s="50"/>
      <c r="Z84"/>
    </row>
    <row r="85" spans="3:29" ht="15" customHeight="1" x14ac:dyDescent="0.15">
      <c r="C85" s="186"/>
      <c r="D85" s="205"/>
      <c r="E85" s="188"/>
      <c r="F85" s="226"/>
      <c r="G85" s="296" t="str">
        <f ca="1">IF(L85="b","",IF(L85="l",0,FIXED(F85,K85,0)&amp;M85))</f>
        <v/>
      </c>
      <c r="H85" s="187"/>
      <c r="I85" s="189"/>
      <c r="K85" s="215"/>
      <c r="L85" t="str">
        <f t="shared" ca="1" si="12"/>
        <v>b</v>
      </c>
      <c r="M85" t="str">
        <f>REPT(" ",3-K85)&amp;IF(K85=0," ","")</f>
        <v xml:space="preserve">    </v>
      </c>
      <c r="O85" s="194"/>
      <c r="P85" s="208">
        <f>IF(ISNUMBER(D85),LOOKUP(D85,$AB$5:$AC$7),D85)</f>
        <v>0</v>
      </c>
      <c r="Q85" s="208">
        <f t="shared" si="13"/>
        <v>0</v>
      </c>
      <c r="R85" s="301" t="str">
        <f t="shared" ca="1" si="14"/>
        <v/>
      </c>
      <c r="S85" s="305">
        <f>H85</f>
        <v>0</v>
      </c>
      <c r="T85" s="145"/>
      <c r="U85" s="216">
        <f ca="1">IF(L85="l","",IF(D85+F85&gt;0,SUM(Z85:AA85),-1))</f>
        <v>-1</v>
      </c>
      <c r="V85" s="386"/>
      <c r="W85" s="107"/>
      <c r="Z85" s="114">
        <f>IF(D85&gt;0,0,TRUNC(F85*T85+Y85*X85))</f>
        <v>0</v>
      </c>
      <c r="AA85" t="b">
        <f>IF($D85=1,SUM(Z$13:Z83)-SUM(AA$13:AA83),IF($D85=2,$AA$6,IF($D85=3,TRUNC($AA$6,-3))))</f>
        <v>0</v>
      </c>
      <c r="AB85">
        <f ca="1">IF(OR(AC$8=0,L84="l",D85&gt;0,U85=-1),0,IF(L84="b",-U85,TRUNC(F84*T85)))</f>
        <v>0</v>
      </c>
      <c r="AC85" t="b">
        <f>IF($D85=1,SUM(AB$13:AB83)-SUM(AC$13:AC83),IF($D85=2,$AA$5,IF($D85=3,TRUNC($AA$5,-3))))</f>
        <v>0</v>
      </c>
    </row>
    <row r="86" spans="3:29" ht="15" customHeight="1" x14ac:dyDescent="0.15">
      <c r="C86" s="182"/>
      <c r="D86" s="212"/>
      <c r="E86" s="184"/>
      <c r="F86" s="227"/>
      <c r="G86" s="297" t="str">
        <f ca="1">IF(OR(AC$8=0,L86="b"),"",IF(L86="l",0,"("&amp;FIXED(-F86,K87,0)&amp;M86))</f>
        <v/>
      </c>
      <c r="H86" s="183"/>
      <c r="I86" s="185"/>
      <c r="L86" t="str">
        <f t="shared" ca="1" si="12"/>
        <v>b</v>
      </c>
      <c r="M86" t="str">
        <f>")"&amp;REPT(" ",2-K87)&amp;IF(K87=0," ","")</f>
        <v xml:space="preserve">)   </v>
      </c>
      <c r="O86" s="194"/>
      <c r="P86" s="317">
        <f>D86</f>
        <v>0</v>
      </c>
      <c r="Q86" s="207">
        <f t="shared" si="13"/>
        <v>0</v>
      </c>
      <c r="R86" s="300" t="str">
        <f t="shared" ca="1" si="14"/>
        <v/>
      </c>
      <c r="S86" s="304"/>
      <c r="T86" s="144"/>
      <c r="U86" s="206">
        <f ca="1">IF(OR(AC$8=0,SUM(Z87:AC87)=0),1,IF(L86="l","",SUM(AB87:AC87)))</f>
        <v>1</v>
      </c>
      <c r="V86" s="385"/>
      <c r="W86" s="50"/>
      <c r="Z86"/>
    </row>
    <row r="87" spans="3:29" ht="15" customHeight="1" x14ac:dyDescent="0.15">
      <c r="C87" s="186"/>
      <c r="D87" s="213"/>
      <c r="E87" s="188"/>
      <c r="F87" s="226"/>
      <c r="G87" s="296" t="str">
        <f ca="1">IF(L87="b","",IF(L87="l",0,FIXED(F87,K87,0)&amp;M87))</f>
        <v/>
      </c>
      <c r="H87" s="187"/>
      <c r="I87" s="189"/>
      <c r="K87" s="215"/>
      <c r="L87" t="str">
        <f t="shared" ca="1" si="12"/>
        <v>b</v>
      </c>
      <c r="M87" t="str">
        <f>REPT(" ",3-K87)&amp;IF(K87=0," ","")</f>
        <v xml:space="preserve">    </v>
      </c>
      <c r="O87" s="194"/>
      <c r="P87" s="208">
        <f>IF(ISNUMBER(D87),LOOKUP(D87,$AB$5:$AC$7),D87)</f>
        <v>0</v>
      </c>
      <c r="Q87" s="208">
        <f t="shared" si="13"/>
        <v>0</v>
      </c>
      <c r="R87" s="301" t="str">
        <f t="shared" ca="1" si="14"/>
        <v/>
      </c>
      <c r="S87" s="305">
        <f>H87</f>
        <v>0</v>
      </c>
      <c r="T87" s="145"/>
      <c r="U87" s="216">
        <f ca="1">IF(L87="l","",IF(D87+F87&gt;0,SUM(Z87:AA87),-1))</f>
        <v>-1</v>
      </c>
      <c r="V87" s="386"/>
      <c r="W87" s="107"/>
      <c r="Z87" s="114">
        <f>IF(D87&gt;0,0,TRUNC(F87*T87+Y87*X87))</f>
        <v>0</v>
      </c>
      <c r="AA87" t="b">
        <f>IF($D87=1,SUM(Z$13:Z85)-SUM(AA$13:AA85),IF($D87=2,$AA$6,IF($D87=3,TRUNC($AA$6,-3))))</f>
        <v>0</v>
      </c>
      <c r="AB87">
        <f ca="1">IF(OR(AC$8=0,L86="l",D87&gt;0,U87=-1),0,IF(L86="b",-U87,TRUNC(F86*T87)))</f>
        <v>0</v>
      </c>
      <c r="AC87" t="b">
        <f>IF($D87=1,SUM(AB$13:AB85)-SUM(AC$13:AC85),IF($D87=2,$AA$5,IF($D87=3,TRUNC($AA$5,-3))))</f>
        <v>0</v>
      </c>
    </row>
    <row r="88" spans="3:29" ht="15" customHeight="1" x14ac:dyDescent="0.15">
      <c r="C88" s="182"/>
      <c r="D88" s="214"/>
      <c r="E88" s="184"/>
      <c r="F88" s="227"/>
      <c r="G88" s="297" t="str">
        <f ca="1">IF(OR(AC$8=0,L88="b"),"",IF(L88="l",0,"("&amp;FIXED(-F88,K89,0)&amp;M88))</f>
        <v/>
      </c>
      <c r="H88" s="183"/>
      <c r="I88" s="185"/>
      <c r="L88" t="str">
        <f t="shared" ref="L88:L99" ca="1" si="15">CELL("type",F88)</f>
        <v>b</v>
      </c>
      <c r="M88" t="str">
        <f>")"&amp;REPT(" ",2-K89)&amp;IF(K89=0," ","")</f>
        <v xml:space="preserve">)   </v>
      </c>
      <c r="O88" s="194"/>
      <c r="P88" s="317">
        <f>D88</f>
        <v>0</v>
      </c>
      <c r="Q88" s="207">
        <f t="shared" ref="Q88:Q99" si="16">E88</f>
        <v>0</v>
      </c>
      <c r="R88" s="300" t="str">
        <f t="shared" ref="R88:R99" ca="1" si="17">G88</f>
        <v/>
      </c>
      <c r="S88" s="304"/>
      <c r="T88" s="144"/>
      <c r="U88" s="206">
        <f ca="1">IF(OR(AC$8=0,SUM(Z89:AC89)=0),1,IF(L88="l","",SUM(AB89:AC89)))</f>
        <v>1</v>
      </c>
      <c r="V88" s="385"/>
      <c r="W88" s="50"/>
      <c r="Z88"/>
    </row>
    <row r="89" spans="3:29" ht="15" customHeight="1" x14ac:dyDescent="0.15">
      <c r="C89" s="186"/>
      <c r="D89" s="213"/>
      <c r="E89" s="188"/>
      <c r="F89" s="226"/>
      <c r="G89" s="296" t="str">
        <f ca="1">IF(L89="b","",IF(L89="l",0,FIXED(F89,K89,0)&amp;M89))</f>
        <v/>
      </c>
      <c r="H89" s="187"/>
      <c r="I89" s="189"/>
      <c r="K89" s="215"/>
      <c r="L89" t="str">
        <f t="shared" ca="1" si="15"/>
        <v>b</v>
      </c>
      <c r="M89" t="str">
        <f>REPT(" ",3-K89)&amp;IF(K89=0," ","")</f>
        <v xml:space="preserve">    </v>
      </c>
      <c r="O89" s="194"/>
      <c r="P89" s="256">
        <f>IF(ISNUMBER(D89),LOOKUP(D89,$AB$5:$AC$7),D89)</f>
        <v>0</v>
      </c>
      <c r="Q89" s="208">
        <f t="shared" si="16"/>
        <v>0</v>
      </c>
      <c r="R89" s="301" t="str">
        <f t="shared" ca="1" si="17"/>
        <v/>
      </c>
      <c r="S89" s="305">
        <f>H89</f>
        <v>0</v>
      </c>
      <c r="T89" s="145"/>
      <c r="U89" s="216">
        <f ca="1">IF(L89="l","",IF(D89+F89&gt;0,SUM(Z89:AA89),-1))</f>
        <v>-1</v>
      </c>
      <c r="V89" s="386"/>
      <c r="W89" s="107"/>
      <c r="Z89" s="114">
        <f>IF(D89&gt;0,0,TRUNC(F89*T89+Y89*X89))</f>
        <v>0</v>
      </c>
      <c r="AA89" t="b">
        <f>IF($D89=1,SUM(Z$13:Z87)-SUM(AA$13:AA87),IF($D89=2,$AA$6,IF($D89=3,TRUNC($AA$6,-3))))</f>
        <v>0</v>
      </c>
      <c r="AB89">
        <f ca="1">IF(OR(AC$8=0,L88="l",D89&gt;0,U89=-1),0,IF(L88="b",-U89,TRUNC(F88*T89)))</f>
        <v>0</v>
      </c>
      <c r="AC89" t="b">
        <f>IF($D89=1,SUM(AB$13:AB87)-SUM(AC$13:AC87),IF($D89=2,$AA$5,IF($D89=3,TRUNC($AA$5,-3))))</f>
        <v>0</v>
      </c>
    </row>
    <row r="90" spans="3:29" ht="15" customHeight="1" x14ac:dyDescent="0.15">
      <c r="C90" s="182"/>
      <c r="D90" s="210"/>
      <c r="E90" s="184"/>
      <c r="F90" s="227"/>
      <c r="G90" s="297" t="str">
        <f ca="1">IF(OR(AC$8=0,L90="b"),"",IF(L90="l",0,"("&amp;FIXED(-F90,K91,0)&amp;M90))</f>
        <v/>
      </c>
      <c r="H90" s="183"/>
      <c r="I90" s="185"/>
      <c r="L90" t="str">
        <f t="shared" ca="1" si="15"/>
        <v>b</v>
      </c>
      <c r="M90" t="str">
        <f>")"&amp;REPT(" ",2-K91)&amp;IF(K91=0," ","")</f>
        <v xml:space="preserve">)   </v>
      </c>
      <c r="O90" s="194"/>
      <c r="P90" s="207">
        <f>D90</f>
        <v>0</v>
      </c>
      <c r="Q90" s="207">
        <f t="shared" si="16"/>
        <v>0</v>
      </c>
      <c r="R90" s="300" t="str">
        <f t="shared" ca="1" si="17"/>
        <v/>
      </c>
      <c r="S90" s="304"/>
      <c r="T90" s="144"/>
      <c r="U90" s="206">
        <f ca="1">IF(OR(AC$8=0,SUM(Z91:AC91)=0),1,IF(L90="l","",SUM(AB91:AC91)))</f>
        <v>1</v>
      </c>
      <c r="V90" s="385"/>
      <c r="W90" s="50"/>
      <c r="Z90"/>
    </row>
    <row r="91" spans="3:29" ht="15" customHeight="1" x14ac:dyDescent="0.15">
      <c r="C91" s="186"/>
      <c r="D91" s="205"/>
      <c r="E91" s="188"/>
      <c r="F91" s="226"/>
      <c r="G91" s="296" t="str">
        <f ca="1">IF(L91="b","",IF(L91="l",0,FIXED(F91,K91,0)&amp;M91))</f>
        <v/>
      </c>
      <c r="H91" s="187"/>
      <c r="I91" s="189"/>
      <c r="K91" s="215"/>
      <c r="L91" t="str">
        <f t="shared" ca="1" si="15"/>
        <v>b</v>
      </c>
      <c r="M91" t="str">
        <f>REPT(" ",3-K91)&amp;IF(K91=0," ","")</f>
        <v xml:space="preserve">    </v>
      </c>
      <c r="O91" s="194"/>
      <c r="P91" s="208">
        <f>IF(ISNUMBER(D91),LOOKUP(D91,$AB$5:$AC$7),D91)</f>
        <v>0</v>
      </c>
      <c r="Q91" s="208">
        <f t="shared" si="16"/>
        <v>0</v>
      </c>
      <c r="R91" s="301" t="str">
        <f t="shared" ca="1" si="17"/>
        <v/>
      </c>
      <c r="S91" s="305">
        <f>H91</f>
        <v>0</v>
      </c>
      <c r="T91" s="145"/>
      <c r="U91" s="216">
        <f ca="1">IF(L91="l","",IF(D91+F91&gt;0,SUM(Z91:AA91),-1))</f>
        <v>-1</v>
      </c>
      <c r="V91" s="386"/>
      <c r="W91" s="107"/>
      <c r="Y91" s="114"/>
      <c r="Z91" s="114">
        <f>IF(D91&gt;0,0,TRUNC(F91*T91+Y91*X91))</f>
        <v>0</v>
      </c>
      <c r="AA91" t="b">
        <f>IF($D91=1,SUM(Z$13:Z89)-SUM(AA$13:AA89),IF($D91=2,$AA$6,IF($D91=3,TRUNC($AA$6,-3))))</f>
        <v>0</v>
      </c>
      <c r="AB91">
        <f ca="1">IF(OR(AC$8=0,L90="l",D91&gt;0,U91=-1),0,IF(L90="b",-U91,TRUNC(F90*T91)))</f>
        <v>0</v>
      </c>
      <c r="AC91" t="b">
        <f>IF($D91=1,SUM(AB$13:AB89)-SUM(AC$13:AC89),IF($D91=2,$AA$5,IF($D91=3,TRUNC($AA$5,-3))))</f>
        <v>0</v>
      </c>
    </row>
    <row r="92" spans="3:29" ht="15" customHeight="1" x14ac:dyDescent="0.15">
      <c r="C92" s="182"/>
      <c r="D92" s="210"/>
      <c r="E92" s="184"/>
      <c r="F92" s="227"/>
      <c r="G92" s="297" t="str">
        <f ca="1">IF(OR(AC$8=0,L92="b"),"",IF(L92="l",0,"("&amp;FIXED(-F92,K93,0)&amp;M92))</f>
        <v/>
      </c>
      <c r="H92" s="183"/>
      <c r="I92" s="185"/>
      <c r="L92" t="str">
        <f t="shared" ca="1" si="15"/>
        <v>b</v>
      </c>
      <c r="M92" t="str">
        <f>")"&amp;REPT(" ",2-K93)&amp;IF(K93=0," ","")</f>
        <v xml:space="preserve">)   </v>
      </c>
      <c r="O92" s="194"/>
      <c r="P92" s="207">
        <f>D92</f>
        <v>0</v>
      </c>
      <c r="Q92" s="207">
        <f t="shared" si="16"/>
        <v>0</v>
      </c>
      <c r="R92" s="300" t="str">
        <f t="shared" ca="1" si="17"/>
        <v/>
      </c>
      <c r="S92" s="304"/>
      <c r="T92" s="144"/>
      <c r="U92" s="206">
        <f ca="1">IF(OR(AC$8=0,SUM(Z93:AC93)=0),1,IF(L92="l","",SUM(AB93:AC93)))</f>
        <v>1</v>
      </c>
      <c r="V92" s="385"/>
      <c r="W92" s="50"/>
      <c r="Z92"/>
    </row>
    <row r="93" spans="3:29" ht="15" customHeight="1" x14ac:dyDescent="0.15">
      <c r="C93" s="186"/>
      <c r="D93" s="205"/>
      <c r="E93" s="188"/>
      <c r="F93" s="226"/>
      <c r="G93" s="296" t="str">
        <f ca="1">IF(L93="b","",IF(L93="l",0,FIXED(F93,K93,0)&amp;M93))</f>
        <v/>
      </c>
      <c r="H93" s="187"/>
      <c r="I93" s="189"/>
      <c r="K93" s="215"/>
      <c r="L93" t="str">
        <f t="shared" ca="1" si="15"/>
        <v>b</v>
      </c>
      <c r="M93" t="str">
        <f>REPT(" ",3-K93)&amp;IF(K93=0," ","")</f>
        <v xml:space="preserve">    </v>
      </c>
      <c r="O93" s="194"/>
      <c r="P93" s="208">
        <f>IF(ISNUMBER(D93),LOOKUP(D93,$AB$5:$AC$7),D93)</f>
        <v>0</v>
      </c>
      <c r="Q93" s="208">
        <f t="shared" si="16"/>
        <v>0</v>
      </c>
      <c r="R93" s="301" t="str">
        <f t="shared" ca="1" si="17"/>
        <v/>
      </c>
      <c r="S93" s="305">
        <f>H93</f>
        <v>0</v>
      </c>
      <c r="T93" s="145"/>
      <c r="U93" s="216">
        <f ca="1">IF(L93="l","",IF(D93+F93&gt;0,SUM(Z93:AA93),-1))</f>
        <v>-1</v>
      </c>
      <c r="V93" s="386"/>
      <c r="W93" s="107"/>
      <c r="Z93" s="114">
        <f>IF(D93&gt;0,0,TRUNC(F93*T93+Y93*X93))</f>
        <v>0</v>
      </c>
      <c r="AA93" t="b">
        <f>IF($D93=1,SUM(Z$13:Z91)-SUM(AA$13:AA91),IF($D93=2,$AA$6,IF($D93=3,TRUNC($AA$6,-3))))</f>
        <v>0</v>
      </c>
      <c r="AB93">
        <f ca="1">IF(OR(AC$8=0,L92="l",D93&gt;0,U93=-1),0,IF(L92="b",-U93,TRUNC(F92*T93)))</f>
        <v>0</v>
      </c>
      <c r="AC93" t="b">
        <f>IF($D93=1,SUM(AB$13:AB91)-SUM(AC$13:AC91),IF($D93=2,$AA$5,IF($D93=3,TRUNC($AA$5,-3))))</f>
        <v>0</v>
      </c>
    </row>
    <row r="94" spans="3:29" ht="15" customHeight="1" x14ac:dyDescent="0.15">
      <c r="C94" s="182"/>
      <c r="D94" s="210"/>
      <c r="E94" s="184"/>
      <c r="F94" s="227"/>
      <c r="G94" s="297" t="str">
        <f ca="1">IF(OR(AC$8=0,L94="b"),"",IF(L94="l",0,"("&amp;FIXED(-F94,K95,0)&amp;M94))</f>
        <v/>
      </c>
      <c r="H94" s="183"/>
      <c r="I94" s="185"/>
      <c r="L94" t="str">
        <f t="shared" ca="1" si="15"/>
        <v>b</v>
      </c>
      <c r="M94" t="str">
        <f>")"&amp;REPT(" ",2-K95)&amp;IF(K95=0," ","")</f>
        <v xml:space="preserve">)   </v>
      </c>
      <c r="O94" s="194"/>
      <c r="P94" s="207">
        <f>D94</f>
        <v>0</v>
      </c>
      <c r="Q94" s="207">
        <f t="shared" si="16"/>
        <v>0</v>
      </c>
      <c r="R94" s="300" t="str">
        <f t="shared" ca="1" si="17"/>
        <v/>
      </c>
      <c r="S94" s="304"/>
      <c r="T94" s="144"/>
      <c r="U94" s="206">
        <f ca="1">IF(OR(AC$8=0,SUM(Z95:AC95)=0),1,IF(L94="l","",SUM(AB95:AC95)))</f>
        <v>1</v>
      </c>
      <c r="V94" s="385"/>
      <c r="W94" s="50"/>
      <c r="Z94"/>
    </row>
    <row r="95" spans="3:29" ht="15" customHeight="1" x14ac:dyDescent="0.15">
      <c r="C95" s="186"/>
      <c r="D95" s="205"/>
      <c r="E95" s="188"/>
      <c r="F95" s="226"/>
      <c r="G95" s="296" t="str">
        <f ca="1">IF(L95="b","",IF(L95="l",0,FIXED(F95,K95,0)&amp;M95))</f>
        <v/>
      </c>
      <c r="H95" s="187"/>
      <c r="I95" s="189"/>
      <c r="K95" s="215"/>
      <c r="L95" t="str">
        <f t="shared" ca="1" si="15"/>
        <v>b</v>
      </c>
      <c r="M95" t="str">
        <f>REPT(" ",3-K95)&amp;IF(K95=0," ","")</f>
        <v xml:space="preserve">    </v>
      </c>
      <c r="O95" s="194"/>
      <c r="P95" s="208">
        <f>IF(ISNUMBER(D95),LOOKUP(D95,$AB$5:$AC$7),D95)</f>
        <v>0</v>
      </c>
      <c r="Q95" s="208">
        <f t="shared" si="16"/>
        <v>0</v>
      </c>
      <c r="R95" s="301" t="str">
        <f t="shared" ca="1" si="17"/>
        <v/>
      </c>
      <c r="S95" s="305">
        <f>H95</f>
        <v>0</v>
      </c>
      <c r="T95" s="145"/>
      <c r="U95" s="216">
        <f ca="1">IF(L95="l","",IF(D95+F95&gt;0,SUM(Z95:AA95),-1))</f>
        <v>-1</v>
      </c>
      <c r="V95" s="386"/>
      <c r="W95" s="107"/>
      <c r="Z95" s="114">
        <f>IF(D95&gt;0,0,TRUNC(F95*T95+Y95*X95))</f>
        <v>0</v>
      </c>
      <c r="AA95" t="b">
        <f>IF($D95=1,SUM(Z$13:Z93)-SUM(AA$13:AA93),IF($D95=2,$AA$6,IF($D95=3,TRUNC($AA$6,-3))))</f>
        <v>0</v>
      </c>
      <c r="AB95">
        <f ca="1">IF(OR(AC$8=0,L94="l",D95&gt;0,U95=-1),0,IF(L94="b",-U95,TRUNC(F94*T95)))</f>
        <v>0</v>
      </c>
      <c r="AC95" t="b">
        <f>IF($D95=1,SUM(AB$13:AB93)-SUM(AC$13:AC93),IF($D95=2,$AA$5,IF($D95=3,TRUNC($AA$5,-3))))</f>
        <v>0</v>
      </c>
    </row>
    <row r="96" spans="3:29" ht="15" customHeight="1" x14ac:dyDescent="0.15">
      <c r="C96" s="182"/>
      <c r="D96" s="212"/>
      <c r="E96" s="184"/>
      <c r="F96" s="227"/>
      <c r="G96" s="297" t="str">
        <f ca="1">IF(OR(AC$8=0,L96="b"),"",IF(L96="l",0,"("&amp;FIXED(-F96,K97,0)&amp;M96))</f>
        <v/>
      </c>
      <c r="H96" s="183"/>
      <c r="I96" s="185"/>
      <c r="L96" t="str">
        <f t="shared" ca="1" si="15"/>
        <v>b</v>
      </c>
      <c r="M96" t="str">
        <f>")"&amp;REPT(" ",2-K97)&amp;IF(K97=0," ","")</f>
        <v xml:space="preserve">)   </v>
      </c>
      <c r="O96" s="194"/>
      <c r="P96" s="317">
        <f>D96</f>
        <v>0</v>
      </c>
      <c r="Q96" s="207">
        <f t="shared" si="16"/>
        <v>0</v>
      </c>
      <c r="R96" s="300" t="str">
        <f t="shared" ca="1" si="17"/>
        <v/>
      </c>
      <c r="S96" s="304"/>
      <c r="T96" s="144"/>
      <c r="U96" s="206">
        <f ca="1">IF(OR(AC$8=0,SUM(Z97:AC97)=0),1,IF(L96="l","",SUM(AB97:AC97)))</f>
        <v>1</v>
      </c>
      <c r="V96" s="385"/>
      <c r="W96" s="50"/>
      <c r="Z96"/>
    </row>
    <row r="97" spans="3:29" ht="15" customHeight="1" x14ac:dyDescent="0.15">
      <c r="C97" s="186"/>
      <c r="D97" s="213"/>
      <c r="E97" s="188"/>
      <c r="F97" s="226"/>
      <c r="G97" s="296" t="str">
        <f ca="1">IF(L97="b","",IF(L97="l",0,FIXED(F97,K97,0)&amp;M97))</f>
        <v/>
      </c>
      <c r="H97" s="187"/>
      <c r="I97" s="189"/>
      <c r="K97" s="215"/>
      <c r="L97" t="str">
        <f t="shared" ca="1" si="15"/>
        <v>b</v>
      </c>
      <c r="M97" t="str">
        <f>REPT(" ",3-K97)&amp;IF(K97=0," ","")</f>
        <v xml:space="preserve">    </v>
      </c>
      <c r="O97" s="194"/>
      <c r="P97" s="208">
        <f>IF(ISNUMBER(D97),LOOKUP(D97,$AB$5:$AC$7),D97)</f>
        <v>0</v>
      </c>
      <c r="Q97" s="208">
        <f t="shared" si="16"/>
        <v>0</v>
      </c>
      <c r="R97" s="301" t="str">
        <f t="shared" ca="1" si="17"/>
        <v/>
      </c>
      <c r="S97" s="305">
        <f>H97</f>
        <v>0</v>
      </c>
      <c r="T97" s="145"/>
      <c r="U97" s="216">
        <f ca="1">IF(L97="l","",IF(D97+F97&gt;0,SUM(Z97:AA97),-1))</f>
        <v>-1</v>
      </c>
      <c r="V97" s="386"/>
      <c r="W97" s="107"/>
      <c r="Z97" s="114">
        <f>IF(D97&gt;0,0,TRUNC(F97*T97+Y97*X97))</f>
        <v>0</v>
      </c>
      <c r="AA97" t="b">
        <f>IF($D97=1,SUM(Z$13:Z95)-SUM(AA$13:AA95),IF($D97=2,$AA$6,IF($D97=3,TRUNC($AA$6,-3))))</f>
        <v>0</v>
      </c>
      <c r="AB97">
        <f ca="1">IF(OR(AC$8=0,L96="l",D97&gt;0,U97=-1),0,IF(L96="b",-U97,TRUNC(F96*T97)))</f>
        <v>0</v>
      </c>
      <c r="AC97" t="b">
        <f>IF($D97=1,SUM(AB$13:AB95)-SUM(AC$13:AC95),IF($D97=2,$AA$5,IF($D97=3,TRUNC($AA$5,-3))))</f>
        <v>0</v>
      </c>
    </row>
    <row r="98" spans="3:29" ht="15" customHeight="1" x14ac:dyDescent="0.15">
      <c r="C98" s="182"/>
      <c r="D98" s="210"/>
      <c r="E98" s="184"/>
      <c r="F98" s="227"/>
      <c r="G98" s="297" t="str">
        <f ca="1">IF(OR(AC$8=0,L98="b"),"",IF(L98="l",0,"("&amp;FIXED(-F98,K99,0)&amp;M98))</f>
        <v/>
      </c>
      <c r="H98" s="183"/>
      <c r="I98" s="185"/>
      <c r="L98" t="str">
        <f t="shared" ca="1" si="15"/>
        <v>b</v>
      </c>
      <c r="M98" t="str">
        <f>")"&amp;REPT(" ",2-K99)&amp;IF(K99=0," ","")</f>
        <v xml:space="preserve">)   </v>
      </c>
      <c r="O98" s="194"/>
      <c r="P98" s="207">
        <f>D98</f>
        <v>0</v>
      </c>
      <c r="Q98" s="207">
        <f t="shared" si="16"/>
        <v>0</v>
      </c>
      <c r="R98" s="300" t="str">
        <f t="shared" ca="1" si="17"/>
        <v/>
      </c>
      <c r="S98" s="304"/>
      <c r="T98" s="149"/>
      <c r="U98" s="206">
        <f ca="1">IF(OR(AC$8=0,SUM(Z99:AC99)=0),1,IF(L98="l","",SUM(AB99:AC99)))</f>
        <v>1</v>
      </c>
      <c r="V98" s="385"/>
      <c r="W98" s="50"/>
      <c r="Z98"/>
    </row>
    <row r="99" spans="3:29" ht="15" customHeight="1" x14ac:dyDescent="0.15">
      <c r="C99" s="186"/>
      <c r="D99" s="205"/>
      <c r="E99" s="188"/>
      <c r="F99" s="226"/>
      <c r="G99" s="296" t="str">
        <f ca="1">IF(L99="b","",IF(L99="l",0,FIXED(F99,K99,0)&amp;M99))</f>
        <v/>
      </c>
      <c r="H99" s="187"/>
      <c r="I99" s="189"/>
      <c r="K99" s="215"/>
      <c r="L99" t="str">
        <f t="shared" ca="1" si="15"/>
        <v>b</v>
      </c>
      <c r="M99" t="str">
        <f>REPT(" ",3-K99)&amp;IF(K99=0," ","")</f>
        <v xml:space="preserve">    </v>
      </c>
      <c r="O99" s="194"/>
      <c r="P99" s="208">
        <f>IF(ISNUMBER(D99),LOOKUP(D99,$AB$5:$AC$7),D99)</f>
        <v>0</v>
      </c>
      <c r="Q99" s="208">
        <f t="shared" si="16"/>
        <v>0</v>
      </c>
      <c r="R99" s="301" t="str">
        <f t="shared" ca="1" si="17"/>
        <v/>
      </c>
      <c r="S99" s="305">
        <f>H99</f>
        <v>0</v>
      </c>
      <c r="T99" s="150"/>
      <c r="U99" s="216">
        <f ca="1">IF(L99="l","",IF(D99+F99&gt;0,SUM(Z99:AA99),-1))</f>
        <v>-1</v>
      </c>
      <c r="V99" s="386"/>
      <c r="W99" s="107"/>
      <c r="Z99" s="114">
        <f>IF(D99&gt;0,0,TRUNC(F99*T99+Y99*X99))</f>
        <v>0</v>
      </c>
      <c r="AA99" t="b">
        <f>IF($D99=1,SUM(Z$13:Z97)-SUM(AA$13:AA97),IF($D99=2,$AA$6,IF($D99=3,TRUNC($AA$6,-3))))</f>
        <v>0</v>
      </c>
      <c r="AB99">
        <f ca="1">IF(OR(AC$8=0,L98="l",D99&gt;0,U99=-1),0,IF(L98="b",-U99,TRUNC(F98*T99)))</f>
        <v>0</v>
      </c>
      <c r="AC99" t="b">
        <f>IF($D99=1,SUM(AB$13:AB97)-SUM(AC$13:AC97),IF($D99=2,$AA$5,IF($D99=3,TRUNC($AA$5,-3))))</f>
        <v>0</v>
      </c>
    </row>
    <row r="100" spans="3:29" ht="15" customHeight="1" x14ac:dyDescent="0.15">
      <c r="C100" s="182"/>
      <c r="D100" s="210"/>
      <c r="E100" s="184"/>
      <c r="F100" s="227"/>
      <c r="G100" s="297" t="str">
        <f ca="1">IF(OR(AC$8=0,L100="b"),"",IF(L100="l",0,"("&amp;FIXED(-F100,K101,0)&amp;M100))</f>
        <v/>
      </c>
      <c r="H100" s="183"/>
      <c r="I100" s="185"/>
      <c r="L100" t="str">
        <f ca="1">CELL("type",F100)</f>
        <v>b</v>
      </c>
      <c r="M100" t="str">
        <f>")"&amp;REPT(" ",2-K101)&amp;IF(K101=0," ","")</f>
        <v xml:space="preserve">)   </v>
      </c>
      <c r="O100" s="194"/>
      <c r="P100" s="207">
        <f>D100</f>
        <v>0</v>
      </c>
      <c r="Q100" s="207">
        <f>E100</f>
        <v>0</v>
      </c>
      <c r="R100" s="300" t="str">
        <f ca="1">G100</f>
        <v/>
      </c>
      <c r="S100" s="304"/>
      <c r="T100" s="149"/>
      <c r="U100" s="206">
        <f ca="1">IF(OR(AC$8=0,SUM(Z101:AC101)=0),1,IF(L100="l","",SUM(AB101:AC101)))</f>
        <v>1</v>
      </c>
      <c r="V100" s="394"/>
      <c r="W100" s="50"/>
      <c r="Z100"/>
    </row>
    <row r="101" spans="3:29" ht="15" customHeight="1" x14ac:dyDescent="0.15">
      <c r="C101" s="186"/>
      <c r="D101" s="205"/>
      <c r="E101" s="188"/>
      <c r="F101" s="226"/>
      <c r="G101" s="296" t="str">
        <f ca="1">IF(L101="b","",IF(L101="l",0,FIXED(F101,K101,0)&amp;M101))</f>
        <v/>
      </c>
      <c r="H101" s="187"/>
      <c r="I101" s="189"/>
      <c r="K101" s="215"/>
      <c r="L101" t="str">
        <f ca="1">CELL("type",F101)</f>
        <v>b</v>
      </c>
      <c r="M101" t="str">
        <f>REPT(" ",3-K101)&amp;IF(K101=0," ","")</f>
        <v xml:space="preserve">    </v>
      </c>
      <c r="O101" s="194"/>
      <c r="P101" s="208">
        <f>IF(ISNUMBER(D101),LOOKUP(D101,$AB$5:$AC$7),D101)</f>
        <v>0</v>
      </c>
      <c r="Q101" s="208">
        <f>E101</f>
        <v>0</v>
      </c>
      <c r="R101" s="301" t="str">
        <f ca="1">G101</f>
        <v/>
      </c>
      <c r="S101" s="305">
        <f>H101</f>
        <v>0</v>
      </c>
      <c r="T101" s="150"/>
      <c r="U101" s="216">
        <f ca="1">IF(L101="l","",IF(D101+F101&gt;0,SUM(Z101:AA101),-1))</f>
        <v>-1</v>
      </c>
      <c r="V101" s="395"/>
      <c r="W101" s="107"/>
      <c r="Z101" s="114">
        <f>IF(D101&gt;0,0,TRUNC(F101*T101+Y101*X101))</f>
        <v>0</v>
      </c>
      <c r="AA101" t="b">
        <f>IF($D101=1,SUM(Z$13:Z99)-SUM(AA$13:AA99),IF($D101=2,$AA$6,IF($D101=3,TRUNC($AA$6,-3))))</f>
        <v>0</v>
      </c>
      <c r="AB101">
        <f ca="1">IF(OR(AC$8=0,L100="l",D101&gt;0,U101=-1),0,IF(L100="b",-U101,TRUNC(F100*T101)))</f>
        <v>0</v>
      </c>
      <c r="AC101" t="b">
        <f>IF($D101=1,SUM(AB$13:AB99)-SUM(AC$13:AC99),IF($D101=2,$AA$5,IF($D101=3,TRUNC($AA$5,-3))))</f>
        <v>0</v>
      </c>
    </row>
    <row r="102" spans="3:29" ht="15" customHeight="1" x14ac:dyDescent="0.15">
      <c r="C102" s="182"/>
      <c r="D102" s="210"/>
      <c r="E102" s="184"/>
      <c r="F102" s="227"/>
      <c r="G102" s="297" t="str">
        <f ca="1">IF(OR(AC$8=0,L102="b"),"",IF(L102="l",0,"("&amp;FIXED(-F102,K103,0)&amp;M102))</f>
        <v/>
      </c>
      <c r="H102" s="183"/>
      <c r="I102" s="185"/>
      <c r="L102" t="str">
        <f t="shared" ref="L102:L133" ca="1" si="18">CELL("type",F102)</f>
        <v>b</v>
      </c>
      <c r="M102" t="str">
        <f>")"&amp;REPT(" ",2-K103)&amp;IF(K103=0," ","")</f>
        <v xml:space="preserve">)   </v>
      </c>
      <c r="O102" s="194"/>
      <c r="P102" s="207">
        <f>D102</f>
        <v>0</v>
      </c>
      <c r="Q102" s="207">
        <f t="shared" ref="Q102:Q133" si="19">E102</f>
        <v>0</v>
      </c>
      <c r="R102" s="300" t="str">
        <f t="shared" ref="R102:R133" ca="1" si="20">G102</f>
        <v/>
      </c>
      <c r="S102" s="304"/>
      <c r="T102" s="144"/>
      <c r="U102" s="206">
        <f ca="1">IF(OR(AC$8=0,SUM(Z103:AC103)=0),1,IF(L102="l","",SUM(AB103:AC103)))</f>
        <v>1</v>
      </c>
      <c r="V102" s="385"/>
      <c r="W102" s="50"/>
      <c r="Z102"/>
    </row>
    <row r="103" spans="3:29" ht="15" customHeight="1" x14ac:dyDescent="0.15">
      <c r="C103" s="186"/>
      <c r="D103" s="205"/>
      <c r="E103" s="188"/>
      <c r="F103" s="226"/>
      <c r="G103" s="296" t="str">
        <f ca="1">IF(L103="b","",IF(L103="l",0,FIXED(F103,K103,0)&amp;M103))</f>
        <v/>
      </c>
      <c r="H103" s="187"/>
      <c r="I103" s="189"/>
      <c r="K103" s="215"/>
      <c r="L103" t="str">
        <f t="shared" ca="1" si="18"/>
        <v>b</v>
      </c>
      <c r="M103" t="str">
        <f>REPT(" ",3-K103)&amp;IF(K103=0," ","")</f>
        <v xml:space="preserve">    </v>
      </c>
      <c r="O103" s="194"/>
      <c r="P103" s="208">
        <f>IF(ISNUMBER(D103),LOOKUP(D103,$AB$5:$AC$7),D103)</f>
        <v>0</v>
      </c>
      <c r="Q103" s="208">
        <f t="shared" si="19"/>
        <v>0</v>
      </c>
      <c r="R103" s="301" t="str">
        <f t="shared" ca="1" si="20"/>
        <v/>
      </c>
      <c r="S103" s="305">
        <f>H103</f>
        <v>0</v>
      </c>
      <c r="T103" s="145"/>
      <c r="U103" s="216">
        <f ca="1">IF(L103="l","",IF(D103+F103&gt;0,SUM(Z103:AA103),-1))</f>
        <v>-1</v>
      </c>
      <c r="V103" s="386"/>
      <c r="W103" s="107"/>
      <c r="Y103" s="114"/>
      <c r="Z103" s="114">
        <f>IF(D103&gt;0,0,TRUNC(F103*T103+Y103*X103))</f>
        <v>0</v>
      </c>
      <c r="AA103" t="b">
        <f>IF($D103=1,SUM(Z$13:Z101)-SUM(AA$13:AA101),IF($D103=2,$AA$6,IF($D103=3,TRUNC($AA$6,-3))))</f>
        <v>0</v>
      </c>
      <c r="AB103">
        <f ca="1">IF(OR(AC$8=0,L102="l",D103&gt;0,U103=-1),0,IF(L102="b",-U103,TRUNC(F102*T103)))</f>
        <v>0</v>
      </c>
      <c r="AC103" t="b">
        <f>IF($D103=1,SUM(AB$13:AB101)-SUM(AC$13:AC101),IF($D103=2,$AA$5,IF($D103=3,TRUNC($AA$5,-3))))</f>
        <v>0</v>
      </c>
    </row>
    <row r="104" spans="3:29" ht="15" customHeight="1" x14ac:dyDescent="0.15">
      <c r="C104" s="182"/>
      <c r="D104" s="210"/>
      <c r="E104" s="184"/>
      <c r="F104" s="227"/>
      <c r="G104" s="297" t="str">
        <f ca="1">IF(OR(AC$8=0,L104="b"),"",IF(L104="l",0,"("&amp;FIXED(-F104,K105,0)&amp;M104))</f>
        <v/>
      </c>
      <c r="H104" s="183"/>
      <c r="I104" s="185"/>
      <c r="L104" t="str">
        <f t="shared" ca="1" si="18"/>
        <v>b</v>
      </c>
      <c r="M104" t="str">
        <f>")"&amp;REPT(" ",2-K105)&amp;IF(K105=0," ","")</f>
        <v xml:space="preserve">)   </v>
      </c>
      <c r="O104" s="194"/>
      <c r="P104" s="207">
        <f>D104</f>
        <v>0</v>
      </c>
      <c r="Q104" s="207">
        <f t="shared" si="19"/>
        <v>0</v>
      </c>
      <c r="R104" s="300" t="str">
        <f t="shared" ca="1" si="20"/>
        <v/>
      </c>
      <c r="S104" s="304"/>
      <c r="T104" s="149"/>
      <c r="U104" s="206">
        <f ca="1">IF(OR(AC$8=0,SUM(Z105:AC105)=0),1,IF(L104="l","",SUM(AB105:AC105)))</f>
        <v>1</v>
      </c>
      <c r="V104" s="385"/>
      <c r="W104" s="50"/>
      <c r="Z104"/>
    </row>
    <row r="105" spans="3:29" ht="15" customHeight="1" x14ac:dyDescent="0.15">
      <c r="C105" s="186"/>
      <c r="D105" s="205"/>
      <c r="E105" s="188"/>
      <c r="F105" s="226"/>
      <c r="G105" s="296" t="str">
        <f ca="1">IF(L105="b","",IF(L105="l",0,FIXED(F105,K105,0)&amp;M105))</f>
        <v/>
      </c>
      <c r="H105" s="187"/>
      <c r="I105" s="189"/>
      <c r="K105" s="215"/>
      <c r="L105" t="str">
        <f t="shared" ca="1" si="18"/>
        <v>b</v>
      </c>
      <c r="M105" t="str">
        <f>REPT(" ",3-K105)&amp;IF(K105=0," ","")</f>
        <v xml:space="preserve">    </v>
      </c>
      <c r="O105" s="194"/>
      <c r="P105" s="208">
        <f>IF(ISNUMBER(D105),LOOKUP(D105,$AB$5:$AC$7),D105)</f>
        <v>0</v>
      </c>
      <c r="Q105" s="208">
        <f t="shared" si="19"/>
        <v>0</v>
      </c>
      <c r="R105" s="301" t="str">
        <f t="shared" ca="1" si="20"/>
        <v/>
      </c>
      <c r="S105" s="305">
        <f>H105</f>
        <v>0</v>
      </c>
      <c r="T105" s="150"/>
      <c r="U105" s="216">
        <f ca="1">IF(L105="l","",IF(D105+F105&gt;0,SUM(Z105:AA105),-1))</f>
        <v>-1</v>
      </c>
      <c r="V105" s="386"/>
      <c r="W105" s="107"/>
      <c r="Z105" s="114">
        <f>IF(D105&gt;0,0,TRUNC(F105*T105+Y105*X105))</f>
        <v>0</v>
      </c>
      <c r="AA105" t="b">
        <f>IF($D105=1,SUM(Z$13:Z103)-SUM(AA$13:AA103),IF($D105=2,$AA$6,IF($D105=3,TRUNC($AA$6,-3))))</f>
        <v>0</v>
      </c>
      <c r="AB105">
        <f ca="1">IF(OR(AC$8=0,L104="l",D105&gt;0,U105=-1),0,IF(L104="b",-U105,TRUNC(F104*T105)))</f>
        <v>0</v>
      </c>
      <c r="AC105" t="b">
        <f>IF($D105=1,SUM(AB$13:AB103)-SUM(AC$13:AC103),IF($D105=2,$AA$5,IF($D105=3,TRUNC($AA$5,-3))))</f>
        <v>0</v>
      </c>
    </row>
    <row r="106" spans="3:29" ht="15" customHeight="1" x14ac:dyDescent="0.15">
      <c r="C106" s="182"/>
      <c r="D106" s="210"/>
      <c r="E106" s="184"/>
      <c r="F106" s="227"/>
      <c r="G106" s="297" t="str">
        <f ca="1">IF(OR(AC$8=0,L106="b"),"",IF(L106="l",0,"("&amp;FIXED(-F106,K107,0)&amp;M106))</f>
        <v/>
      </c>
      <c r="H106" s="183"/>
      <c r="I106" s="185"/>
      <c r="L106" t="str">
        <f t="shared" ca="1" si="18"/>
        <v>b</v>
      </c>
      <c r="M106" t="str">
        <f>")"&amp;REPT(" ",2-K107)&amp;IF(K107=0," ","")</f>
        <v xml:space="preserve">)   </v>
      </c>
      <c r="O106" s="194"/>
      <c r="P106" s="207">
        <f>D106</f>
        <v>0</v>
      </c>
      <c r="Q106" s="207">
        <f t="shared" si="19"/>
        <v>0</v>
      </c>
      <c r="R106" s="300" t="str">
        <f t="shared" ca="1" si="20"/>
        <v/>
      </c>
      <c r="S106" s="304"/>
      <c r="T106" s="149"/>
      <c r="U106" s="206">
        <f ca="1">IF(OR(AC$8=0,SUM(Z107:AC107)=0),1,IF(L106="l","",SUM(AB107:AC107)))</f>
        <v>1</v>
      </c>
      <c r="V106" s="385"/>
      <c r="W106" s="50"/>
      <c r="Z106"/>
    </row>
    <row r="107" spans="3:29" ht="15" customHeight="1" x14ac:dyDescent="0.15">
      <c r="C107" s="186"/>
      <c r="D107" s="205"/>
      <c r="E107" s="188"/>
      <c r="F107" s="226"/>
      <c r="G107" s="296" t="str">
        <f ca="1">IF(L107="b","",IF(L107="l",0,FIXED(F107,K107,0)&amp;M107))</f>
        <v/>
      </c>
      <c r="H107" s="187"/>
      <c r="I107" s="189"/>
      <c r="K107" s="215"/>
      <c r="L107" t="str">
        <f t="shared" ca="1" si="18"/>
        <v>b</v>
      </c>
      <c r="M107" t="str">
        <f>REPT(" ",3-K107)&amp;IF(K107=0," ","")</f>
        <v xml:space="preserve">    </v>
      </c>
      <c r="O107" s="194"/>
      <c r="P107" s="208">
        <f>IF(ISNUMBER(D107),LOOKUP(D107,$AB$5:$AC$7),D107)</f>
        <v>0</v>
      </c>
      <c r="Q107" s="208">
        <f t="shared" si="19"/>
        <v>0</v>
      </c>
      <c r="R107" s="301" t="str">
        <f t="shared" ca="1" si="20"/>
        <v/>
      </c>
      <c r="S107" s="305">
        <f>H107</f>
        <v>0</v>
      </c>
      <c r="T107" s="150"/>
      <c r="U107" s="216">
        <f ca="1">IF(L107="l","",IF(D107+F107&gt;0,SUM(Z107:AA107),-1))</f>
        <v>-1</v>
      </c>
      <c r="V107" s="386"/>
      <c r="W107" s="107"/>
      <c r="Z107" s="114">
        <f>IF(D107&gt;0,0,TRUNC(F107*T107+Y107*X107))</f>
        <v>0</v>
      </c>
      <c r="AA107" t="b">
        <f>IF($D107=1,SUM(Z$13:Z105)-SUM(AA$13:AA105),IF($D107=2,$AA$6,IF($D107=3,TRUNC($AA$6,-3))))</f>
        <v>0</v>
      </c>
      <c r="AB107">
        <f ca="1">IF(OR(AC$8=0,L106="l",D107&gt;0,U107=-1),0,IF(L106="b",-U107,TRUNC(F106*T107)))</f>
        <v>0</v>
      </c>
      <c r="AC107" t="b">
        <f>IF($D107=1,SUM(AB$13:AB105)-SUM(AC$13:AC105),IF($D107=2,$AA$5,IF($D107=3,TRUNC($AA$5,-3))))</f>
        <v>0</v>
      </c>
    </row>
    <row r="108" spans="3:29" ht="15" customHeight="1" x14ac:dyDescent="0.15">
      <c r="C108" s="182"/>
      <c r="D108" s="210"/>
      <c r="E108" s="184"/>
      <c r="F108" s="227"/>
      <c r="G108" s="297" t="str">
        <f ca="1">IF(OR(AC$8=0,L108="b"),"",IF(L108="l",0,"("&amp;FIXED(-F108,K109,0)&amp;M108))</f>
        <v/>
      </c>
      <c r="H108" s="183"/>
      <c r="I108" s="185"/>
      <c r="L108" t="str">
        <f t="shared" ca="1" si="18"/>
        <v>b</v>
      </c>
      <c r="M108" t="str">
        <f>")"&amp;REPT(" ",2-K109)&amp;IF(K109=0," ","")</f>
        <v xml:space="preserve">)   </v>
      </c>
      <c r="O108" s="194"/>
      <c r="P108" s="207">
        <f>D108</f>
        <v>0</v>
      </c>
      <c r="Q108" s="207">
        <f t="shared" si="19"/>
        <v>0</v>
      </c>
      <c r="R108" s="300" t="str">
        <f t="shared" ca="1" si="20"/>
        <v/>
      </c>
      <c r="S108" s="304"/>
      <c r="T108" s="149"/>
      <c r="U108" s="206">
        <f ca="1">IF(OR(AC$8=0,SUM(Z109:AC109)=0),1,IF(L108="l","",SUM(AB109:AC109)))</f>
        <v>1</v>
      </c>
      <c r="V108" s="385"/>
      <c r="W108" s="50"/>
      <c r="Z108"/>
    </row>
    <row r="109" spans="3:29" ht="15" customHeight="1" x14ac:dyDescent="0.15">
      <c r="C109" s="186"/>
      <c r="D109" s="205"/>
      <c r="E109" s="188"/>
      <c r="F109" s="226"/>
      <c r="G109" s="296" t="str">
        <f ca="1">IF(L109="b","",IF(L109="l",0,FIXED(F109,K109,0)&amp;M109))</f>
        <v/>
      </c>
      <c r="H109" s="187"/>
      <c r="I109" s="189"/>
      <c r="K109" s="215"/>
      <c r="L109" t="str">
        <f t="shared" ca="1" si="18"/>
        <v>b</v>
      </c>
      <c r="M109" t="str">
        <f>REPT(" ",3-K109)&amp;IF(K109=0," ","")</f>
        <v xml:space="preserve">    </v>
      </c>
      <c r="O109" s="194"/>
      <c r="P109" s="208">
        <f>IF(ISNUMBER(D109),LOOKUP(D109,$AB$5:$AC$7),D109)</f>
        <v>0</v>
      </c>
      <c r="Q109" s="208">
        <f t="shared" si="19"/>
        <v>0</v>
      </c>
      <c r="R109" s="301" t="str">
        <f t="shared" ca="1" si="20"/>
        <v/>
      </c>
      <c r="S109" s="305">
        <f>H109</f>
        <v>0</v>
      </c>
      <c r="T109" s="150"/>
      <c r="U109" s="216">
        <f ca="1">IF(L109="l","",IF(D109+F109&gt;0,SUM(Z109:AA109),-1))</f>
        <v>-1</v>
      </c>
      <c r="V109" s="386"/>
      <c r="W109" s="107"/>
      <c r="Z109" s="114">
        <f>IF(D109&gt;0,0,TRUNC(F109*T109+Y109*X109))</f>
        <v>0</v>
      </c>
      <c r="AA109" t="b">
        <f>IF($D109=1,SUM(Z$13:Z107)-SUM(AA$13:AA107),IF($D109=2,$AA$6,IF($D109=3,TRUNC($AA$6,-3))))</f>
        <v>0</v>
      </c>
      <c r="AB109">
        <f ca="1">IF(OR(AC$8=0,L108="l",D109&gt;0,U109=-1),0,IF(L108="b",-U109,TRUNC(F108*T109)))</f>
        <v>0</v>
      </c>
      <c r="AC109" t="b">
        <f>IF($D109=1,SUM(AB$13:AB107)-SUM(AC$13:AC107),IF($D109=2,$AA$5,IF($D109=3,TRUNC($AA$5,-3))))</f>
        <v>0</v>
      </c>
    </row>
    <row r="110" spans="3:29" ht="15" customHeight="1" x14ac:dyDescent="0.15">
      <c r="C110" s="182"/>
      <c r="D110" s="210"/>
      <c r="E110" s="184"/>
      <c r="F110" s="227"/>
      <c r="G110" s="297" t="str">
        <f ca="1">IF(OR(AC$8=0,L110="b"),"",IF(L110="l",0,"("&amp;FIXED(-F110,K111,0)&amp;M110))</f>
        <v/>
      </c>
      <c r="H110" s="183"/>
      <c r="I110" s="185"/>
      <c r="L110" t="str">
        <f t="shared" ca="1" si="18"/>
        <v>b</v>
      </c>
      <c r="M110" t="str">
        <f>")"&amp;REPT(" ",2-K111)&amp;IF(K111=0," ","")</f>
        <v xml:space="preserve">)   </v>
      </c>
      <c r="O110" s="194"/>
      <c r="P110" s="207">
        <f>D110</f>
        <v>0</v>
      </c>
      <c r="Q110" s="207">
        <f t="shared" si="19"/>
        <v>0</v>
      </c>
      <c r="R110" s="300" t="str">
        <f t="shared" ca="1" si="20"/>
        <v/>
      </c>
      <c r="S110" s="304"/>
      <c r="T110" s="149"/>
      <c r="U110" s="206">
        <f ca="1">IF(OR(AC$8=0,SUM(Z111:AC111)=0),1,IF(L110="l","",SUM(AB111:AC111)))</f>
        <v>1</v>
      </c>
      <c r="V110" s="385"/>
      <c r="W110" s="50"/>
      <c r="Z110"/>
    </row>
    <row r="111" spans="3:29" ht="15" customHeight="1" x14ac:dyDescent="0.15">
      <c r="C111" s="186"/>
      <c r="D111" s="205"/>
      <c r="E111" s="188"/>
      <c r="F111" s="226"/>
      <c r="G111" s="296" t="str">
        <f ca="1">IF(L111="b","",IF(L111="l",0,FIXED(F111,K111,0)&amp;M111))</f>
        <v/>
      </c>
      <c r="H111" s="187"/>
      <c r="I111" s="189"/>
      <c r="K111" s="215"/>
      <c r="L111" t="str">
        <f t="shared" ca="1" si="18"/>
        <v>b</v>
      </c>
      <c r="M111" t="str">
        <f>REPT(" ",3-K111)&amp;IF(K111=0," ","")</f>
        <v xml:space="preserve">    </v>
      </c>
      <c r="O111" s="194"/>
      <c r="P111" s="208">
        <f>IF(ISNUMBER(D111),LOOKUP(D111,$AB$5:$AC$7),D111)</f>
        <v>0</v>
      </c>
      <c r="Q111" s="208">
        <f t="shared" si="19"/>
        <v>0</v>
      </c>
      <c r="R111" s="301" t="str">
        <f t="shared" ca="1" si="20"/>
        <v/>
      </c>
      <c r="S111" s="305">
        <f>H111</f>
        <v>0</v>
      </c>
      <c r="T111" s="150"/>
      <c r="U111" s="216">
        <f ca="1">IF(L111="l","",IF(D111+F111&gt;0,SUM(Z111:AA111),-1))</f>
        <v>-1</v>
      </c>
      <c r="V111" s="386"/>
      <c r="W111" s="107"/>
      <c r="Z111" s="114">
        <f>IF(D111&gt;0,0,TRUNC(F111*T111+Y111*X111))</f>
        <v>0</v>
      </c>
      <c r="AA111" t="b">
        <f>IF($D111=1,SUM(Z$13:Z109)-SUM(AA$13:AA109),IF($D111=2,$AA$6,IF($D111=3,TRUNC($AA$6,-3))))</f>
        <v>0</v>
      </c>
      <c r="AB111">
        <f ca="1">IF(OR(AC$8=0,L110="l",D111&gt;0,U111=-1),0,IF(L110="b",-U111,TRUNC(F110*T111)))</f>
        <v>0</v>
      </c>
      <c r="AC111" t="b">
        <f>IF($D111=1,SUM(AB$13:AB109)-SUM(AC$13:AC109),IF($D111=2,$AA$5,IF($D111=3,TRUNC($AA$5,-3))))</f>
        <v>0</v>
      </c>
    </row>
    <row r="112" spans="3:29" ht="15" customHeight="1" x14ac:dyDescent="0.15">
      <c r="C112" s="182"/>
      <c r="D112" s="210"/>
      <c r="E112" s="184"/>
      <c r="F112" s="227"/>
      <c r="G112" s="297" t="str">
        <f ca="1">IF(OR(AC$8=0,L112="b"),"",IF(L112="l",0,"("&amp;FIXED(-F112,K113,0)&amp;M112))</f>
        <v/>
      </c>
      <c r="H112" s="183"/>
      <c r="I112" s="185"/>
      <c r="L112" t="str">
        <f t="shared" ca="1" si="18"/>
        <v>b</v>
      </c>
      <c r="M112" t="str">
        <f>")"&amp;REPT(" ",2-K113)&amp;IF(K113=0," ","")</f>
        <v xml:space="preserve">)   </v>
      </c>
      <c r="O112" s="194"/>
      <c r="P112" s="207">
        <f>D112</f>
        <v>0</v>
      </c>
      <c r="Q112" s="207">
        <f t="shared" si="19"/>
        <v>0</v>
      </c>
      <c r="R112" s="300" t="str">
        <f t="shared" ca="1" si="20"/>
        <v/>
      </c>
      <c r="S112" s="304"/>
      <c r="T112" s="149"/>
      <c r="U112" s="206">
        <f ca="1">IF(OR(AC$8=0,SUM(Z113:AC113)=0),1,IF(L112="l","",SUM(AB113:AC113)))</f>
        <v>1</v>
      </c>
      <c r="V112" s="385"/>
      <c r="W112" s="50"/>
      <c r="Z112"/>
    </row>
    <row r="113" spans="3:29" ht="15" customHeight="1" x14ac:dyDescent="0.15">
      <c r="C113" s="186"/>
      <c r="D113" s="205"/>
      <c r="E113" s="188"/>
      <c r="F113" s="226"/>
      <c r="G113" s="296" t="str">
        <f ca="1">IF(L113="b","",IF(L113="l",0,FIXED(F113,K113,0)&amp;M113))</f>
        <v/>
      </c>
      <c r="H113" s="187"/>
      <c r="I113" s="189"/>
      <c r="K113" s="215"/>
      <c r="L113" t="str">
        <f t="shared" ca="1" si="18"/>
        <v>b</v>
      </c>
      <c r="M113" t="str">
        <f>REPT(" ",3-K113)&amp;IF(K113=0," ","")</f>
        <v xml:space="preserve">    </v>
      </c>
      <c r="O113" s="194"/>
      <c r="P113" s="208">
        <f>IF(ISNUMBER(D113),LOOKUP(D113,$AB$5:$AC$7),D113)</f>
        <v>0</v>
      </c>
      <c r="Q113" s="208">
        <f t="shared" si="19"/>
        <v>0</v>
      </c>
      <c r="R113" s="301" t="str">
        <f t="shared" ca="1" si="20"/>
        <v/>
      </c>
      <c r="S113" s="305">
        <f>H113</f>
        <v>0</v>
      </c>
      <c r="T113" s="150"/>
      <c r="U113" s="216">
        <f ca="1">IF(L113="l","",IF(D113+F113&gt;0,SUM(Z113:AA113),-1))</f>
        <v>-1</v>
      </c>
      <c r="V113" s="386"/>
      <c r="W113" s="107"/>
      <c r="Z113" s="114">
        <f>IF(D113&gt;0,0,TRUNC(F113*T113+Y113*X113))</f>
        <v>0</v>
      </c>
      <c r="AA113" t="b">
        <f>IF($D113=1,SUM(Z$13:Z111)-SUM(AA$13:AA111),IF($D113=2,$AA$6,IF($D113=3,TRUNC($AA$6,-3))))</f>
        <v>0</v>
      </c>
      <c r="AB113">
        <f ca="1">IF(OR(AC$8=0,L112="l",D113&gt;0,U113=-1),0,IF(L112="b",-U113,TRUNC(F112*T113)))</f>
        <v>0</v>
      </c>
      <c r="AC113" t="b">
        <f>IF($D113=1,SUM(AB$13:AB111)-SUM(AC$13:AC111),IF($D113=2,$AA$5,IF($D113=3,TRUNC($AA$5,-3))))</f>
        <v>0</v>
      </c>
    </row>
    <row r="114" spans="3:29" ht="15" customHeight="1" x14ac:dyDescent="0.15">
      <c r="C114" s="182"/>
      <c r="D114" s="210"/>
      <c r="E114" s="184"/>
      <c r="F114" s="227"/>
      <c r="G114" s="297" t="str">
        <f ca="1">IF(OR(AC$8=0,L114="b"),"",IF(L114="l",0,"("&amp;FIXED(-F114,K115,0)&amp;M114))</f>
        <v/>
      </c>
      <c r="H114" s="183"/>
      <c r="I114" s="185"/>
      <c r="L114" t="str">
        <f t="shared" ca="1" si="18"/>
        <v>b</v>
      </c>
      <c r="M114" t="str">
        <f>")"&amp;REPT(" ",2-K115)&amp;IF(K115=0," ","")</f>
        <v xml:space="preserve">)   </v>
      </c>
      <c r="O114" s="194"/>
      <c r="P114" s="207">
        <f>D114</f>
        <v>0</v>
      </c>
      <c r="Q114" s="207">
        <f t="shared" si="19"/>
        <v>0</v>
      </c>
      <c r="R114" s="300" t="str">
        <f t="shared" ca="1" si="20"/>
        <v/>
      </c>
      <c r="S114" s="304"/>
      <c r="T114" s="149"/>
      <c r="U114" s="206">
        <f ca="1">IF(OR(AC$8=0,SUM(Z115:AC115)=0),1,IF(L114="l","",SUM(AB115:AC115)))</f>
        <v>1</v>
      </c>
      <c r="V114" s="385"/>
      <c r="W114" s="50"/>
      <c r="Z114"/>
    </row>
    <row r="115" spans="3:29" ht="15" customHeight="1" x14ac:dyDescent="0.15">
      <c r="C115" s="186"/>
      <c r="D115" s="205"/>
      <c r="E115" s="188"/>
      <c r="F115" s="226"/>
      <c r="G115" s="296" t="str">
        <f ca="1">IF(L115="b","",IF(L115="l",0,FIXED(F115,K115,0)&amp;M115))</f>
        <v/>
      </c>
      <c r="H115" s="187"/>
      <c r="I115" s="189"/>
      <c r="K115" s="215"/>
      <c r="L115" t="str">
        <f t="shared" ca="1" si="18"/>
        <v>b</v>
      </c>
      <c r="M115" t="str">
        <f>REPT(" ",3-K115)&amp;IF(K115=0," ","")</f>
        <v xml:space="preserve">    </v>
      </c>
      <c r="O115" s="194"/>
      <c r="P115" s="208">
        <f>IF(ISNUMBER(D115),LOOKUP(D115,$AB$5:$AC$7),D115)</f>
        <v>0</v>
      </c>
      <c r="Q115" s="208">
        <f t="shared" si="19"/>
        <v>0</v>
      </c>
      <c r="R115" s="301" t="str">
        <f t="shared" ca="1" si="20"/>
        <v/>
      </c>
      <c r="S115" s="305">
        <f>H115</f>
        <v>0</v>
      </c>
      <c r="T115" s="150"/>
      <c r="U115" s="216">
        <f ca="1">IF(L115="l","",IF(D115+F115&gt;0,SUM(Z115:AA115),-1))</f>
        <v>-1</v>
      </c>
      <c r="V115" s="386"/>
      <c r="W115" s="107"/>
      <c r="Z115" s="114">
        <f>IF(D115&gt;0,0,TRUNC(F115*T115+Y115*X115))</f>
        <v>0</v>
      </c>
      <c r="AA115" t="b">
        <f>IF($D115=1,SUM(Z$13:Z113)-SUM(AA$13:AA113),IF($D115=2,$AA$6,IF($D115=3,TRUNC($AA$6,-3))))</f>
        <v>0</v>
      </c>
      <c r="AB115">
        <f ca="1">IF(OR(AC$8=0,L114="l",D115&gt;0,U115=-1),0,IF(L114="b",-U115,TRUNC(F114*T115)))</f>
        <v>0</v>
      </c>
      <c r="AC115" t="b">
        <f>IF($D115=1,SUM(AB$13:AB113)-SUM(AC$13:AC113),IF($D115=2,$AA$5,IF($D115=3,TRUNC($AA$5,-3))))</f>
        <v>0</v>
      </c>
    </row>
    <row r="116" spans="3:29" ht="15" customHeight="1" x14ac:dyDescent="0.15">
      <c r="C116" s="182"/>
      <c r="D116" s="210"/>
      <c r="E116" s="184"/>
      <c r="F116" s="227"/>
      <c r="G116" s="297" t="str">
        <f ca="1">IF(OR(AC$8=0,L116="b"),"",IF(L116="l",0,"("&amp;FIXED(-F116,K117,0)&amp;M116))</f>
        <v/>
      </c>
      <c r="H116" s="183"/>
      <c r="I116" s="185"/>
      <c r="L116" t="str">
        <f t="shared" ca="1" si="18"/>
        <v>b</v>
      </c>
      <c r="M116" t="str">
        <f>")"&amp;REPT(" ",2-K117)&amp;IF(K117=0," ","")</f>
        <v xml:space="preserve">)   </v>
      </c>
      <c r="O116" s="194"/>
      <c r="P116" s="207">
        <f>D116</f>
        <v>0</v>
      </c>
      <c r="Q116" s="207">
        <f t="shared" si="19"/>
        <v>0</v>
      </c>
      <c r="R116" s="300" t="str">
        <f t="shared" ca="1" si="20"/>
        <v/>
      </c>
      <c r="S116" s="304"/>
      <c r="T116" s="149"/>
      <c r="U116" s="206">
        <f ca="1">IF(OR(AC$8=0,SUM(Z117:AC117)=0),1,IF(L116="l","",SUM(AB117:AC117)))</f>
        <v>1</v>
      </c>
      <c r="V116" s="385"/>
      <c r="W116" s="50"/>
      <c r="Z116"/>
    </row>
    <row r="117" spans="3:29" ht="15" customHeight="1" x14ac:dyDescent="0.15">
      <c r="C117" s="186"/>
      <c r="D117" s="205"/>
      <c r="E117" s="188"/>
      <c r="F117" s="226"/>
      <c r="G117" s="296" t="str">
        <f ca="1">IF(L117="b","",IF(L117="l",0,FIXED(F117,K117,0)&amp;M117))</f>
        <v/>
      </c>
      <c r="H117" s="187"/>
      <c r="I117" s="189"/>
      <c r="K117" s="215"/>
      <c r="L117" t="str">
        <f t="shared" ca="1" si="18"/>
        <v>b</v>
      </c>
      <c r="M117" t="str">
        <f>REPT(" ",3-K117)&amp;IF(K117=0," ","")</f>
        <v xml:space="preserve">    </v>
      </c>
      <c r="O117" s="194"/>
      <c r="P117" s="208">
        <f>IF(ISNUMBER(D117),LOOKUP(D117,$AB$5:$AC$7),D117)</f>
        <v>0</v>
      </c>
      <c r="Q117" s="208">
        <f t="shared" si="19"/>
        <v>0</v>
      </c>
      <c r="R117" s="301" t="str">
        <f t="shared" ca="1" si="20"/>
        <v/>
      </c>
      <c r="S117" s="305">
        <f>H117</f>
        <v>0</v>
      </c>
      <c r="T117" s="150"/>
      <c r="U117" s="216">
        <f ca="1">IF(L117="l","",IF(D117+F117&gt;0,SUM(Z117:AA117),-1))</f>
        <v>-1</v>
      </c>
      <c r="V117" s="386"/>
      <c r="W117" s="107"/>
      <c r="Z117" s="114">
        <f>IF(D117&gt;0,0,TRUNC(F117*T117+Y117*X117))</f>
        <v>0</v>
      </c>
      <c r="AA117" t="b">
        <f>IF($D117=1,SUM(Z$13:Z115)-SUM(AA$13:AA115),IF($D117=2,$AA$6,IF($D117=3,TRUNC($AA$6,-3))))</f>
        <v>0</v>
      </c>
      <c r="AB117">
        <f ca="1">IF(OR(AC$8=0,L116="l",D117&gt;0,U117=-1),0,IF(L116="b",-U117,TRUNC(F116*T117)))</f>
        <v>0</v>
      </c>
      <c r="AC117" t="b">
        <f>IF($D117=1,SUM(AB$13:AB115)-SUM(AC$13:AC115),IF($D117=2,$AA$5,IF($D117=3,TRUNC($AA$5,-3))))</f>
        <v>0</v>
      </c>
    </row>
    <row r="118" spans="3:29" ht="15" customHeight="1" x14ac:dyDescent="0.15">
      <c r="C118" s="182"/>
      <c r="D118" s="210"/>
      <c r="E118" s="184"/>
      <c r="F118" s="227"/>
      <c r="G118" s="297" t="str">
        <f ca="1">IF(OR(AC$8=0,L118="b"),"",IF(L118="l",0,"("&amp;FIXED(-F118,K119,0)&amp;M118))</f>
        <v/>
      </c>
      <c r="H118" s="183"/>
      <c r="I118" s="185"/>
      <c r="L118" t="str">
        <f t="shared" ca="1" si="18"/>
        <v>b</v>
      </c>
      <c r="M118" t="str">
        <f>")"&amp;REPT(" ",2-K119)&amp;IF(K119=0," ","")</f>
        <v xml:space="preserve">)   </v>
      </c>
      <c r="O118" s="194"/>
      <c r="P118" s="207">
        <f>D118</f>
        <v>0</v>
      </c>
      <c r="Q118" s="207">
        <f t="shared" si="19"/>
        <v>0</v>
      </c>
      <c r="R118" s="300" t="str">
        <f t="shared" ca="1" si="20"/>
        <v/>
      </c>
      <c r="S118" s="304"/>
      <c r="T118" s="149"/>
      <c r="U118" s="206">
        <f ca="1">IF(OR(AC$8=0,SUM(Z119:AC119)=0),1,IF(L118="l","",SUM(AB119:AC119)))</f>
        <v>1</v>
      </c>
      <c r="V118" s="385"/>
      <c r="W118" s="50"/>
      <c r="Z118"/>
    </row>
    <row r="119" spans="3:29" ht="15" customHeight="1" x14ac:dyDescent="0.15">
      <c r="C119" s="186"/>
      <c r="D119" s="205"/>
      <c r="E119" s="188"/>
      <c r="F119" s="226"/>
      <c r="G119" s="296" t="str">
        <f ca="1">IF(L119="b","",IF(L119="l",0,FIXED(F119,K119,0)&amp;M119))</f>
        <v/>
      </c>
      <c r="H119" s="187"/>
      <c r="I119" s="189"/>
      <c r="K119" s="215"/>
      <c r="L119" t="str">
        <f t="shared" ca="1" si="18"/>
        <v>b</v>
      </c>
      <c r="M119" t="str">
        <f>REPT(" ",3-K119)&amp;IF(K119=0," ","")</f>
        <v xml:space="preserve">    </v>
      </c>
      <c r="O119" s="194"/>
      <c r="P119" s="208">
        <f>IF(ISNUMBER(D119),LOOKUP(D119,$AB$5:$AC$7),D119)</f>
        <v>0</v>
      </c>
      <c r="Q119" s="208">
        <f t="shared" si="19"/>
        <v>0</v>
      </c>
      <c r="R119" s="301" t="str">
        <f t="shared" ca="1" si="20"/>
        <v/>
      </c>
      <c r="S119" s="305">
        <f>H119</f>
        <v>0</v>
      </c>
      <c r="T119" s="150"/>
      <c r="U119" s="216">
        <f ca="1">IF(L119="l","",IF(D119+F119&gt;0,SUM(Z119:AA119),-1))</f>
        <v>-1</v>
      </c>
      <c r="V119" s="386"/>
      <c r="W119" s="107"/>
      <c r="Z119" s="114">
        <f>IF(D119&gt;0,0,TRUNC(F119*T119+Y119*X119))</f>
        <v>0</v>
      </c>
      <c r="AA119" t="b">
        <f>IF($D119=1,SUM(Z$13:Z117)-SUM(AA$13:AA117),IF($D119=2,$AA$6,IF($D119=3,TRUNC($AA$6,-3))))</f>
        <v>0</v>
      </c>
      <c r="AB119">
        <f ca="1">IF(OR(AC$8=0,L118="l",D119&gt;0,U119=-1),0,IF(L118="b",-U119,TRUNC(F118*T119)))</f>
        <v>0</v>
      </c>
      <c r="AC119" t="b">
        <f>IF($D119=1,SUM(AB$13:AB117)-SUM(AC$13:AC117),IF($D119=2,$AA$5,IF($D119=3,TRUNC($AA$5,-3))))</f>
        <v>0</v>
      </c>
    </row>
    <row r="120" spans="3:29" ht="15" customHeight="1" x14ac:dyDescent="0.15">
      <c r="C120" s="182"/>
      <c r="D120" s="210"/>
      <c r="E120" s="184"/>
      <c r="F120" s="227"/>
      <c r="G120" s="297" t="str">
        <f ca="1">IF(OR(AC$8=0,L120="b"),"",IF(L120="l",0,"("&amp;FIXED(-F120,K121,0)&amp;M120))</f>
        <v/>
      </c>
      <c r="H120" s="183"/>
      <c r="I120" s="185"/>
      <c r="L120" t="str">
        <f t="shared" ca="1" si="18"/>
        <v>b</v>
      </c>
      <c r="M120" t="str">
        <f>")"&amp;REPT(" ",2-K121)&amp;IF(K121=0," ","")</f>
        <v xml:space="preserve">)   </v>
      </c>
      <c r="O120" s="194"/>
      <c r="P120" s="207">
        <f>D120</f>
        <v>0</v>
      </c>
      <c r="Q120" s="207">
        <f t="shared" si="19"/>
        <v>0</v>
      </c>
      <c r="R120" s="300" t="str">
        <f t="shared" ca="1" si="20"/>
        <v/>
      </c>
      <c r="S120" s="304"/>
      <c r="T120" s="149"/>
      <c r="U120" s="206">
        <f ca="1">IF(OR(AC$8=0,SUM(Z121:AC121)=0),1,IF(L120="l","",SUM(AB121:AC121)))</f>
        <v>1</v>
      </c>
      <c r="V120" s="385"/>
      <c r="W120" s="50"/>
      <c r="Z120"/>
    </row>
    <row r="121" spans="3:29" ht="15" customHeight="1" x14ac:dyDescent="0.15">
      <c r="C121" s="186"/>
      <c r="D121" s="205"/>
      <c r="E121" s="188"/>
      <c r="F121" s="226"/>
      <c r="G121" s="296" t="str">
        <f ca="1">IF(L121="b","",IF(L121="l",0,FIXED(F121,K121,0)&amp;M121))</f>
        <v/>
      </c>
      <c r="H121" s="187"/>
      <c r="I121" s="189"/>
      <c r="K121" s="215"/>
      <c r="L121" t="str">
        <f t="shared" ca="1" si="18"/>
        <v>b</v>
      </c>
      <c r="M121" t="str">
        <f>REPT(" ",3-K121)&amp;IF(K121=0," ","")</f>
        <v xml:space="preserve">    </v>
      </c>
      <c r="O121" s="194"/>
      <c r="P121" s="208">
        <f>IF(ISNUMBER(D121),LOOKUP(D121,$AB$5:$AC$7),D121)</f>
        <v>0</v>
      </c>
      <c r="Q121" s="208">
        <f t="shared" si="19"/>
        <v>0</v>
      </c>
      <c r="R121" s="301" t="str">
        <f t="shared" ca="1" si="20"/>
        <v/>
      </c>
      <c r="S121" s="305">
        <f>H121</f>
        <v>0</v>
      </c>
      <c r="T121" s="150"/>
      <c r="U121" s="216">
        <f ca="1">IF(L121="l","",IF(D121+F121&gt;0,SUM(Z121:AA121),-1))</f>
        <v>-1</v>
      </c>
      <c r="V121" s="386"/>
      <c r="W121" s="107"/>
      <c r="Z121" s="114">
        <f>IF(D121&gt;0,0,TRUNC(F121*T121+Y121*X121))</f>
        <v>0</v>
      </c>
      <c r="AA121" t="b">
        <f>IF($D121=1,SUM(Z$13:Z119)-SUM(AA$13:AA119),IF($D121=2,$AA$6,IF($D121=3,TRUNC($AA$6,-3))))</f>
        <v>0</v>
      </c>
      <c r="AB121">
        <f ca="1">IF(OR(AC$8=0,L120="l",D121&gt;0,U121=-1),0,IF(L120="b",-U121,TRUNC(F120*T121)))</f>
        <v>0</v>
      </c>
      <c r="AC121" t="b">
        <f>IF($D121=1,SUM(AB$13:AB119)-SUM(AC$13:AC119),IF($D121=2,$AA$5,IF($D121=3,TRUNC($AA$5,-3))))</f>
        <v>0</v>
      </c>
    </row>
    <row r="122" spans="3:29" ht="15" customHeight="1" x14ac:dyDescent="0.15">
      <c r="C122" s="182"/>
      <c r="D122" s="210"/>
      <c r="E122" s="184"/>
      <c r="F122" s="227"/>
      <c r="G122" s="297" t="str">
        <f ca="1">IF(OR(AC$8=0,L122="b"),"",IF(L122="l",0,"("&amp;FIXED(-F122,K123,0)&amp;M122))</f>
        <v/>
      </c>
      <c r="H122" s="183"/>
      <c r="I122" s="185"/>
      <c r="L122" t="str">
        <f t="shared" ca="1" si="18"/>
        <v>b</v>
      </c>
      <c r="M122" t="str">
        <f>")"&amp;REPT(" ",2-K123)&amp;IF(K123=0," ","")</f>
        <v xml:space="preserve">)   </v>
      </c>
      <c r="O122" s="194"/>
      <c r="P122" s="207">
        <f>D122</f>
        <v>0</v>
      </c>
      <c r="Q122" s="207">
        <f t="shared" si="19"/>
        <v>0</v>
      </c>
      <c r="R122" s="300" t="str">
        <f t="shared" ca="1" si="20"/>
        <v/>
      </c>
      <c r="S122" s="304"/>
      <c r="T122" s="149"/>
      <c r="U122" s="206">
        <f ca="1">IF(OR(AC$8=0,SUM(Z123:AC123)=0),1,IF(L122="l","",SUM(AB123:AC123)))</f>
        <v>1</v>
      </c>
      <c r="V122" s="385"/>
      <c r="W122" s="50"/>
      <c r="Z122"/>
    </row>
    <row r="123" spans="3:29" ht="15" customHeight="1" x14ac:dyDescent="0.15">
      <c r="C123" s="186"/>
      <c r="D123" s="205"/>
      <c r="E123" s="188"/>
      <c r="F123" s="226"/>
      <c r="G123" s="296" t="str">
        <f ca="1">IF(L123="b","",IF(L123="l",0,FIXED(F123,K123,0)&amp;M123))</f>
        <v/>
      </c>
      <c r="H123" s="187"/>
      <c r="I123" s="189"/>
      <c r="K123" s="215"/>
      <c r="L123" t="str">
        <f t="shared" ca="1" si="18"/>
        <v>b</v>
      </c>
      <c r="M123" t="str">
        <f>REPT(" ",3-K123)&amp;IF(K123=0," ","")</f>
        <v xml:space="preserve">    </v>
      </c>
      <c r="O123" s="194"/>
      <c r="P123" s="208">
        <f>IF(ISNUMBER(D123),LOOKUP(D123,$AB$5:$AC$7),D123)</f>
        <v>0</v>
      </c>
      <c r="Q123" s="208">
        <f t="shared" si="19"/>
        <v>0</v>
      </c>
      <c r="R123" s="301" t="str">
        <f t="shared" ca="1" si="20"/>
        <v/>
      </c>
      <c r="S123" s="305">
        <f>H123</f>
        <v>0</v>
      </c>
      <c r="T123" s="150"/>
      <c r="U123" s="216">
        <f ca="1">IF(L123="l","",IF(D123+F123&gt;0,SUM(Z123:AA123),-1))</f>
        <v>-1</v>
      </c>
      <c r="V123" s="386"/>
      <c r="W123" s="107"/>
      <c r="Z123" s="114">
        <f>IF(D123&gt;0,0,TRUNC(F123*T123+Y123*X123))</f>
        <v>0</v>
      </c>
      <c r="AA123" t="b">
        <f>IF($D123=1,SUM(Z$13:Z121)-SUM(AA$13:AA121),IF($D123=2,$AA$6,IF($D123=3,TRUNC($AA$6,-3))))</f>
        <v>0</v>
      </c>
      <c r="AB123">
        <f ca="1">IF(OR(AC$8=0,L122="l",D123&gt;0,U123=-1),0,IF(L122="b",-U123,TRUNC(F122*T123)))</f>
        <v>0</v>
      </c>
      <c r="AC123" t="b">
        <f>IF($D123=1,SUM(AB$13:AB121)-SUM(AC$13:AC121),IF($D123=2,$AA$5,IF($D123=3,TRUNC($AA$5,-3))))</f>
        <v>0</v>
      </c>
    </row>
    <row r="124" spans="3:29" ht="15" customHeight="1" x14ac:dyDescent="0.15">
      <c r="C124" s="182"/>
      <c r="D124" s="210"/>
      <c r="E124" s="184"/>
      <c r="F124" s="227"/>
      <c r="G124" s="297" t="str">
        <f ca="1">IF(OR(AC$8=0,L124="b"),"",IF(L124="l",0,"("&amp;FIXED(-F124,K125,0)&amp;M124))</f>
        <v/>
      </c>
      <c r="H124" s="183"/>
      <c r="I124" s="185"/>
      <c r="L124" t="str">
        <f t="shared" ca="1" si="18"/>
        <v>b</v>
      </c>
      <c r="M124" t="str">
        <f>")"&amp;REPT(" ",2-K125)&amp;IF(K125=0," ","")</f>
        <v xml:space="preserve">)   </v>
      </c>
      <c r="O124" s="194"/>
      <c r="P124" s="207">
        <f>D124</f>
        <v>0</v>
      </c>
      <c r="Q124" s="207">
        <f t="shared" si="19"/>
        <v>0</v>
      </c>
      <c r="R124" s="300" t="str">
        <f t="shared" ca="1" si="20"/>
        <v/>
      </c>
      <c r="S124" s="304"/>
      <c r="T124" s="149"/>
      <c r="U124" s="206">
        <f ca="1">IF(OR(AC$8=0,SUM(Z125:AC125)=0),1,IF(L124="l","",SUM(AB125:AC125)))</f>
        <v>1</v>
      </c>
      <c r="V124" s="385"/>
      <c r="W124" s="50"/>
      <c r="Z124"/>
    </row>
    <row r="125" spans="3:29" ht="15" customHeight="1" x14ac:dyDescent="0.15">
      <c r="C125" s="186"/>
      <c r="D125" s="205"/>
      <c r="E125" s="188"/>
      <c r="F125" s="226"/>
      <c r="G125" s="296" t="str">
        <f ca="1">IF(L125="b","",IF(L125="l",0,FIXED(F125,K125,0)&amp;M125))</f>
        <v/>
      </c>
      <c r="H125" s="187"/>
      <c r="I125" s="189"/>
      <c r="K125" s="215"/>
      <c r="L125" t="str">
        <f t="shared" ca="1" si="18"/>
        <v>b</v>
      </c>
      <c r="M125" t="str">
        <f>REPT(" ",3-K125)&amp;IF(K125=0," ","")</f>
        <v xml:space="preserve">    </v>
      </c>
      <c r="O125" s="194"/>
      <c r="P125" s="208">
        <f>IF(ISNUMBER(D125),LOOKUP(D125,$AB$5:$AC$7),D125)</f>
        <v>0</v>
      </c>
      <c r="Q125" s="208">
        <f t="shared" si="19"/>
        <v>0</v>
      </c>
      <c r="R125" s="301" t="str">
        <f t="shared" ca="1" si="20"/>
        <v/>
      </c>
      <c r="S125" s="305">
        <f>H125</f>
        <v>0</v>
      </c>
      <c r="T125" s="150"/>
      <c r="U125" s="216">
        <f ca="1">IF(L125="l","",IF(D125+F125&gt;0,SUM(Z125:AA125),-1))</f>
        <v>-1</v>
      </c>
      <c r="V125" s="386"/>
      <c r="W125" s="107"/>
      <c r="Z125" s="114">
        <f>IF(D125&gt;0,0,TRUNC(F125*T125+Y125*X125))</f>
        <v>0</v>
      </c>
      <c r="AA125" t="b">
        <f>IF($D125=1,SUM(Z$13:Z123)-SUM(AA$13:AA123),IF($D125=2,$AA$6,IF($D125=3,TRUNC($AA$6,-3))))</f>
        <v>0</v>
      </c>
      <c r="AB125">
        <f ca="1">IF(OR(AC$8=0,L124="l",D125&gt;0,U125=-1),0,IF(L124="b",-U125,TRUNC(F124*T125)))</f>
        <v>0</v>
      </c>
      <c r="AC125" t="b">
        <f>IF($D125=1,SUM(AB$13:AB123)-SUM(AC$13:AC123),IF($D125=2,$AA$5,IF($D125=3,TRUNC($AA$5,-3))))</f>
        <v>0</v>
      </c>
    </row>
    <row r="126" spans="3:29" ht="15" customHeight="1" x14ac:dyDescent="0.15">
      <c r="C126" s="182"/>
      <c r="D126" s="210"/>
      <c r="E126" s="184"/>
      <c r="F126" s="227"/>
      <c r="G126" s="297" t="str">
        <f ca="1">IF(OR(AC$8=0,L126="b"),"",IF(L126="l",0,"("&amp;FIXED(-F126,K127,0)&amp;M126))</f>
        <v/>
      </c>
      <c r="H126" s="183"/>
      <c r="I126" s="185"/>
      <c r="L126" t="str">
        <f t="shared" ca="1" si="18"/>
        <v>b</v>
      </c>
      <c r="M126" t="str">
        <f>")"&amp;REPT(" ",2-K127)&amp;IF(K127=0," ","")</f>
        <v xml:space="preserve">)   </v>
      </c>
      <c r="O126" s="194"/>
      <c r="P126" s="207">
        <f>D126</f>
        <v>0</v>
      </c>
      <c r="Q126" s="207">
        <f t="shared" si="19"/>
        <v>0</v>
      </c>
      <c r="R126" s="300" t="str">
        <f t="shared" ca="1" si="20"/>
        <v/>
      </c>
      <c r="S126" s="304"/>
      <c r="T126" s="149"/>
      <c r="U126" s="206">
        <f ca="1">IF(OR(AC$8=0,SUM(Z127:AC127)=0),1,IF(L126="l","",SUM(AB127:AC127)))</f>
        <v>1</v>
      </c>
      <c r="V126" s="385"/>
      <c r="W126" s="69"/>
      <c r="Z126"/>
    </row>
    <row r="127" spans="3:29" ht="15" customHeight="1" x14ac:dyDescent="0.15">
      <c r="C127" s="186"/>
      <c r="D127" s="205"/>
      <c r="E127" s="188"/>
      <c r="F127" s="226"/>
      <c r="G127" s="296" t="str">
        <f ca="1">IF(L127="b","",IF(L127="l",0,FIXED(F127,K127,0)&amp;M127))</f>
        <v/>
      </c>
      <c r="H127" s="187"/>
      <c r="I127" s="189"/>
      <c r="K127" s="215"/>
      <c r="L127" t="str">
        <f t="shared" ca="1" si="18"/>
        <v>b</v>
      </c>
      <c r="M127" t="str">
        <f>REPT(" ",3-K127)&amp;IF(K127=0," ","")</f>
        <v xml:space="preserve">    </v>
      </c>
      <c r="O127" s="194"/>
      <c r="P127" s="208">
        <f>IF(ISNUMBER(D127),LOOKUP(D127,$AB$5:$AC$7),D127)</f>
        <v>0</v>
      </c>
      <c r="Q127" s="208">
        <f t="shared" si="19"/>
        <v>0</v>
      </c>
      <c r="R127" s="301" t="str">
        <f t="shared" ca="1" si="20"/>
        <v/>
      </c>
      <c r="S127" s="305">
        <f>H127</f>
        <v>0</v>
      </c>
      <c r="T127" s="150"/>
      <c r="U127" s="216">
        <f ca="1">IF(L127="l","",IF(D127+F127&gt;0,SUM(Z127:AA127),-1))</f>
        <v>-1</v>
      </c>
      <c r="V127" s="386"/>
      <c r="W127" s="141"/>
      <c r="Z127" s="114">
        <f>IF(D127&gt;0,0,TRUNC(F127*T127+Y127*X127))</f>
        <v>0</v>
      </c>
      <c r="AA127" t="b">
        <f>IF($D127=1,SUM(Z$13:Z125)-SUM(AA$13:AA125),IF($D127=2,$AA$6,IF($D127=3,TRUNC($AA$6,-3))))</f>
        <v>0</v>
      </c>
      <c r="AB127">
        <f ca="1">IF(OR(AC$8=0,L126="l",D127&gt;0,U127=-1),0,IF(L126="b",-U127,TRUNC(F126*T127)))</f>
        <v>0</v>
      </c>
      <c r="AC127" t="b">
        <f>IF($D127=1,SUM(AB$13:AB125)-SUM(AC$13:AC125),IF($D127=2,$AA$5,IF($D127=3,TRUNC($AA$5,-3))))</f>
        <v>0</v>
      </c>
    </row>
    <row r="128" spans="3:29" ht="15" customHeight="1" x14ac:dyDescent="0.15">
      <c r="C128" s="182"/>
      <c r="D128" s="210"/>
      <c r="E128" s="184"/>
      <c r="F128" s="227"/>
      <c r="G128" s="297" t="str">
        <f ca="1">IF(OR(AC$8=0,L128="b"),"",IF(L128="l",0,"("&amp;FIXED(-F128,K129,0)&amp;M128))</f>
        <v/>
      </c>
      <c r="H128" s="183"/>
      <c r="I128" s="185"/>
      <c r="L128" t="str">
        <f t="shared" ca="1" si="18"/>
        <v>b</v>
      </c>
      <c r="M128" t="str">
        <f>")"&amp;REPT(" ",2-K129)&amp;IF(K129=0," ","")</f>
        <v xml:space="preserve">)   </v>
      </c>
      <c r="O128" s="194"/>
      <c r="P128" s="207">
        <f>D128</f>
        <v>0</v>
      </c>
      <c r="Q128" s="207">
        <f t="shared" si="19"/>
        <v>0</v>
      </c>
      <c r="R128" s="300" t="str">
        <f t="shared" ca="1" si="20"/>
        <v/>
      </c>
      <c r="S128" s="304"/>
      <c r="T128" s="149"/>
      <c r="U128" s="206">
        <f ca="1">IF(OR(AC$8=0,SUM(Z129:AC129)=0),1,IF(L128="l","",SUM(AB129:AC129)))</f>
        <v>1</v>
      </c>
      <c r="V128" s="385"/>
      <c r="W128" s="69"/>
      <c r="Z128"/>
    </row>
    <row r="129" spans="3:29" ht="15" customHeight="1" x14ac:dyDescent="0.15">
      <c r="C129" s="186"/>
      <c r="D129" s="205"/>
      <c r="E129" s="188"/>
      <c r="F129" s="226"/>
      <c r="G129" s="296" t="str">
        <f ca="1">IF(L129="b","",IF(L129="l",0,FIXED(F129,K129,0)&amp;M129))</f>
        <v/>
      </c>
      <c r="H129" s="187"/>
      <c r="I129" s="189"/>
      <c r="K129" s="215"/>
      <c r="L129" t="str">
        <f t="shared" ca="1" si="18"/>
        <v>b</v>
      </c>
      <c r="M129" t="str">
        <f>REPT(" ",3-K129)&amp;IF(K129=0," ","")</f>
        <v xml:space="preserve">    </v>
      </c>
      <c r="O129" s="194"/>
      <c r="P129" s="208">
        <f>IF(ISNUMBER(D129),LOOKUP(D129,$AB$5:$AC$7),D129)</f>
        <v>0</v>
      </c>
      <c r="Q129" s="208">
        <f t="shared" si="19"/>
        <v>0</v>
      </c>
      <c r="R129" s="301" t="str">
        <f t="shared" ca="1" si="20"/>
        <v/>
      </c>
      <c r="S129" s="305">
        <f>H129</f>
        <v>0</v>
      </c>
      <c r="T129" s="150"/>
      <c r="U129" s="216">
        <f ca="1">IF(L129="l","",IF(D129+F129&gt;0,SUM(Z129:AA129),-1))</f>
        <v>-1</v>
      </c>
      <c r="V129" s="386"/>
      <c r="W129" s="141"/>
      <c r="Z129" s="114">
        <f>IF(D129&gt;0,0,TRUNC(F129*T129+Y129*X129))</f>
        <v>0</v>
      </c>
      <c r="AA129" t="b">
        <f>IF($D129=1,SUM(Z$13:Z127)-SUM(AA$13:AA127),IF($D129=2,$AA$6,IF($D129=3,TRUNC($AA$6,-3))))</f>
        <v>0</v>
      </c>
      <c r="AB129">
        <f ca="1">IF(OR(AC$8=0,L128="l",D129&gt;0,U129=-1),0,IF(L128="b",-U129,TRUNC(F128*T129)))</f>
        <v>0</v>
      </c>
      <c r="AC129" t="b">
        <f>IF($D129=1,SUM(AB$13:AB127)-SUM(AC$13:AC127),IF($D129=2,$AA$5,IF($D129=3,TRUNC($AA$5,-3))))</f>
        <v>0</v>
      </c>
    </row>
    <row r="130" spans="3:29" ht="15" customHeight="1" x14ac:dyDescent="0.15">
      <c r="C130" s="182"/>
      <c r="D130" s="210"/>
      <c r="E130" s="184"/>
      <c r="F130" s="227"/>
      <c r="G130" s="297" t="str">
        <f ca="1">IF(OR(AC$8=0,L130="b"),"",IF(L130="l",0,"("&amp;FIXED(-F130,K131,0)&amp;M130))</f>
        <v/>
      </c>
      <c r="H130" s="183"/>
      <c r="I130" s="185"/>
      <c r="L130" t="str">
        <f t="shared" ca="1" si="18"/>
        <v>b</v>
      </c>
      <c r="M130" t="str">
        <f>")"&amp;REPT(" ",2-K131)&amp;IF(K131=0," ","")</f>
        <v xml:space="preserve">)   </v>
      </c>
      <c r="O130" s="194"/>
      <c r="P130" s="207">
        <f>D130</f>
        <v>0</v>
      </c>
      <c r="Q130" s="207">
        <f t="shared" si="19"/>
        <v>0</v>
      </c>
      <c r="R130" s="300" t="str">
        <f t="shared" ca="1" si="20"/>
        <v/>
      </c>
      <c r="S130" s="304"/>
      <c r="T130" s="149"/>
      <c r="U130" s="206">
        <f ca="1">IF(OR(AC$8=0,SUM(Z131:AC131)=0),1,IF(L130="l","",SUM(AB131:AC131)))</f>
        <v>1</v>
      </c>
      <c r="V130" s="385"/>
      <c r="W130" s="50"/>
      <c r="Z130"/>
    </row>
    <row r="131" spans="3:29" ht="15" customHeight="1" x14ac:dyDescent="0.15">
      <c r="C131" s="186"/>
      <c r="D131" s="205"/>
      <c r="E131" s="188"/>
      <c r="F131" s="226"/>
      <c r="G131" s="296" t="str">
        <f ca="1">IF(L131="b","",IF(L131="l",0,FIXED(F131,K131,0)&amp;M131))</f>
        <v/>
      </c>
      <c r="H131" s="187"/>
      <c r="I131" s="189"/>
      <c r="K131" s="215"/>
      <c r="L131" t="str">
        <f t="shared" ca="1" si="18"/>
        <v>b</v>
      </c>
      <c r="M131" t="str">
        <f>REPT(" ",3-K131)&amp;IF(K131=0," ","")</f>
        <v xml:space="preserve">    </v>
      </c>
      <c r="O131" s="194"/>
      <c r="P131" s="208">
        <f>IF(ISNUMBER(D131),LOOKUP(D131,$AB$5:$AC$7),D131)</f>
        <v>0</v>
      </c>
      <c r="Q131" s="208">
        <f t="shared" si="19"/>
        <v>0</v>
      </c>
      <c r="R131" s="301" t="str">
        <f t="shared" ca="1" si="20"/>
        <v/>
      </c>
      <c r="S131" s="305">
        <f>H131</f>
        <v>0</v>
      </c>
      <c r="T131" s="150"/>
      <c r="U131" s="216">
        <f ca="1">IF(L131="l","",IF(D131+F131&gt;0,SUM(Z131:AA131),-1))</f>
        <v>-1</v>
      </c>
      <c r="V131" s="386"/>
      <c r="W131" s="107"/>
      <c r="Z131" s="114">
        <f>IF(D131&gt;0,0,TRUNC(F131*T131+Y131*X131))</f>
        <v>0</v>
      </c>
      <c r="AA131" t="b">
        <f>IF($D131=1,SUM(Z$13:Z129)-SUM(AA$13:AA129),IF($D131=2,$AA$6,IF($D131=3,TRUNC($AA$6,-3))))</f>
        <v>0</v>
      </c>
      <c r="AB131">
        <f ca="1">IF(OR(AC$8=0,L130="l",D131&gt;0,U131=-1),0,IF(L130="b",-U131,TRUNC(F130*T131)))</f>
        <v>0</v>
      </c>
      <c r="AC131" t="b">
        <f>IF($D131=1,SUM(AB$13:AB129)-SUM(AC$13:AC129),IF($D131=2,$AA$5,IF($D131=3,TRUNC($AA$5,-3))))</f>
        <v>0</v>
      </c>
    </row>
    <row r="132" spans="3:29" ht="15" customHeight="1" x14ac:dyDescent="0.15">
      <c r="C132" s="182"/>
      <c r="D132" s="210"/>
      <c r="E132" s="184"/>
      <c r="F132" s="227"/>
      <c r="G132" s="297" t="str">
        <f ca="1">IF(OR(AC$8=0,L132="b"),"",IF(L132="l",0,"("&amp;FIXED(-F132,K133,0)&amp;M132))</f>
        <v/>
      </c>
      <c r="H132" s="183"/>
      <c r="I132" s="185"/>
      <c r="L132" t="str">
        <f t="shared" ca="1" si="18"/>
        <v>b</v>
      </c>
      <c r="M132" t="str">
        <f>")"&amp;REPT(" ",2-K133)&amp;IF(K133=0," ","")</f>
        <v xml:space="preserve">)   </v>
      </c>
      <c r="O132" s="194"/>
      <c r="P132" s="207">
        <f>D132</f>
        <v>0</v>
      </c>
      <c r="Q132" s="207">
        <f t="shared" si="19"/>
        <v>0</v>
      </c>
      <c r="R132" s="300" t="str">
        <f t="shared" ca="1" si="20"/>
        <v/>
      </c>
      <c r="S132" s="304"/>
      <c r="T132" s="149"/>
      <c r="U132" s="206">
        <f ca="1">IF(OR(AC$8=0,SUM(Z133:AC133)=0),1,IF(L132="l","",SUM(AB133:AC133)))</f>
        <v>1</v>
      </c>
      <c r="V132" s="385"/>
      <c r="W132" s="50"/>
      <c r="Z132"/>
    </row>
    <row r="133" spans="3:29" ht="15" customHeight="1" x14ac:dyDescent="0.15">
      <c r="C133" s="186"/>
      <c r="D133" s="205"/>
      <c r="E133" s="188"/>
      <c r="F133" s="226"/>
      <c r="G133" s="296" t="str">
        <f ca="1">IF(L133="b","",IF(L133="l",0,FIXED(F133,K133,0)&amp;M133))</f>
        <v/>
      </c>
      <c r="H133" s="187"/>
      <c r="I133" s="189"/>
      <c r="K133" s="215"/>
      <c r="L133" t="str">
        <f t="shared" ca="1" si="18"/>
        <v>b</v>
      </c>
      <c r="M133" t="str">
        <f>REPT(" ",3-K133)&amp;IF(K133=0," ","")</f>
        <v xml:space="preserve">    </v>
      </c>
      <c r="O133" s="194"/>
      <c r="P133" s="208">
        <f>IF(ISNUMBER(D133),LOOKUP(D133,$AB$5:$AC$7),D133)</f>
        <v>0</v>
      </c>
      <c r="Q133" s="208">
        <f t="shared" si="19"/>
        <v>0</v>
      </c>
      <c r="R133" s="301" t="str">
        <f t="shared" ca="1" si="20"/>
        <v/>
      </c>
      <c r="S133" s="305">
        <f>H133</f>
        <v>0</v>
      </c>
      <c r="T133" s="150"/>
      <c r="U133" s="216">
        <f ca="1">IF(L133="l","",IF(D133+F133&gt;0,SUM(Z133:AA133),-1))</f>
        <v>-1</v>
      </c>
      <c r="V133" s="386"/>
      <c r="W133" s="107"/>
      <c r="Z133" s="114">
        <f>IF(D133&gt;0,0,TRUNC(F133*T133+Y133*X133))</f>
        <v>0</v>
      </c>
      <c r="AA133" t="b">
        <f>IF($D133=1,SUM(Z$13:Z131)-SUM(AA$13:AA131),IF($D133=2,$AA$6,IF($D133=3,TRUNC($AA$6,-3))))</f>
        <v>0</v>
      </c>
      <c r="AB133">
        <f ca="1">IF(OR(AC$8=0,L132="l",D133&gt;0,U133=-1),0,IF(L132="b",-U133,TRUNC(F132*T133)))</f>
        <v>0</v>
      </c>
      <c r="AC133" t="b">
        <f>IF($D133=1,SUM(AB$13:AB131)-SUM(AC$13:AC131),IF($D133=2,$AA$5,IF($D133=3,TRUNC($AA$5,-3))))</f>
        <v>0</v>
      </c>
    </row>
    <row r="134" spans="3:29" ht="15" customHeight="1" x14ac:dyDescent="0.15">
      <c r="C134" s="182"/>
      <c r="D134" s="210"/>
      <c r="E134" s="184"/>
      <c r="F134" s="227"/>
      <c r="G134" s="297" t="str">
        <f ca="1">IF(OR(AC$8=0,L134="b"),"",IF(L134="l",0,"("&amp;FIXED(-F134,K135,0)&amp;M134))</f>
        <v/>
      </c>
      <c r="H134" s="183"/>
      <c r="I134" s="185"/>
      <c r="L134" t="str">
        <f t="shared" ref="L134:L143" ca="1" si="21">CELL("type",F134)</f>
        <v>b</v>
      </c>
      <c r="M134" t="str">
        <f>")"&amp;REPT(" ",2-K135)&amp;IF(K135=0," ","")</f>
        <v xml:space="preserve">)   </v>
      </c>
      <c r="O134" s="194"/>
      <c r="P134" s="207">
        <f>D134</f>
        <v>0</v>
      </c>
      <c r="Q134" s="207">
        <f>E134</f>
        <v>0</v>
      </c>
      <c r="R134" s="300" t="str">
        <f t="shared" ref="R134:R143" ca="1" si="22">G134</f>
        <v/>
      </c>
      <c r="S134" s="304"/>
      <c r="T134" s="149"/>
      <c r="U134" s="206">
        <f ca="1">IF(OR(AC$8=0,SUM(Z135:AC135)=0),1,IF(L134="l","",SUM(AB135:AC135)))</f>
        <v>1</v>
      </c>
      <c r="V134" s="385"/>
      <c r="W134" s="50"/>
      <c r="Z134"/>
    </row>
    <row r="135" spans="3:29" ht="15" customHeight="1" x14ac:dyDescent="0.15">
      <c r="C135" s="186"/>
      <c r="D135" s="205"/>
      <c r="E135" s="188"/>
      <c r="F135" s="226"/>
      <c r="G135" s="296" t="str">
        <f ca="1">IF(L135="b","",IF(L135="l",0,FIXED(F135,K135,0)&amp;M135))</f>
        <v/>
      </c>
      <c r="H135" s="187"/>
      <c r="I135" s="189"/>
      <c r="K135" s="215"/>
      <c r="L135" t="str">
        <f t="shared" ca="1" si="21"/>
        <v>b</v>
      </c>
      <c r="M135" t="str">
        <f>REPT(" ",3-K135)&amp;IF(K135=0," ","")</f>
        <v xml:space="preserve">    </v>
      </c>
      <c r="O135" s="194"/>
      <c r="P135" s="208">
        <f>IF(ISNUMBER(D135),LOOKUP(D135,$AB$5:$AC$7),D135)</f>
        <v>0</v>
      </c>
      <c r="Q135" s="208">
        <f t="shared" ref="Q135:Q143" si="23">E135</f>
        <v>0</v>
      </c>
      <c r="R135" s="301" t="str">
        <f t="shared" ca="1" si="22"/>
        <v/>
      </c>
      <c r="S135" s="305">
        <f>H135</f>
        <v>0</v>
      </c>
      <c r="T135" s="150"/>
      <c r="U135" s="216">
        <f ca="1">IF(L135="l","",IF(D135+F135&gt;0,SUM(Z135:AA135),-1))</f>
        <v>-1</v>
      </c>
      <c r="V135" s="386"/>
      <c r="W135" s="107"/>
      <c r="Z135" s="114">
        <f>IF(D135&gt;0,0,TRUNC(F135*T135+Y135*X135))</f>
        <v>0</v>
      </c>
      <c r="AA135" t="b">
        <f>IF($D135=1,SUM(Z$13:Z133)-SUM(AA$13:AA133),IF($D135=2,$AA$6,IF($D135=3,TRUNC($AA$6,-3))))</f>
        <v>0</v>
      </c>
      <c r="AB135">
        <f ca="1">IF(OR(AC$8=0,L134="l",D135&gt;0,U135=-1),0,IF(L134="b",-U135,TRUNC(F134*T135)))</f>
        <v>0</v>
      </c>
      <c r="AC135" t="b">
        <f>IF($D135=1,SUM(AB$13:AB133)-SUM(AC$13:AC133),IF($D135=2,$AA$5,IF($D135=3,TRUNC($AA$5,-3))))</f>
        <v>0</v>
      </c>
    </row>
    <row r="136" spans="3:29" ht="15" customHeight="1" x14ac:dyDescent="0.15">
      <c r="C136" s="182"/>
      <c r="D136" s="210"/>
      <c r="E136" s="184"/>
      <c r="F136" s="227"/>
      <c r="G136" s="297" t="str">
        <f ca="1">IF(OR(AC$8=0,L136="b"),"",IF(L136="l",0,"("&amp;FIXED(-F136,K137,0)&amp;M136))</f>
        <v/>
      </c>
      <c r="H136" s="183"/>
      <c r="I136" s="185"/>
      <c r="L136" t="str">
        <f t="shared" ca="1" si="21"/>
        <v>b</v>
      </c>
      <c r="M136" t="str">
        <f>")"&amp;REPT(" ",2-K137)&amp;IF(K137=0," ","")</f>
        <v xml:space="preserve">)   </v>
      </c>
      <c r="O136" s="194"/>
      <c r="P136" s="207">
        <f>D136</f>
        <v>0</v>
      </c>
      <c r="Q136" s="207">
        <f t="shared" si="23"/>
        <v>0</v>
      </c>
      <c r="R136" s="300" t="str">
        <f t="shared" ca="1" si="22"/>
        <v/>
      </c>
      <c r="S136" s="304"/>
      <c r="T136" s="149"/>
      <c r="U136" s="206">
        <f ca="1">IF(OR(AC$8=0,SUM(Z137:AC137)=0),1,IF(L136="l","",SUM(AB137:AC137)))</f>
        <v>1</v>
      </c>
      <c r="V136" s="385"/>
      <c r="W136" s="50"/>
      <c r="Z136"/>
    </row>
    <row r="137" spans="3:29" ht="15" customHeight="1" x14ac:dyDescent="0.15">
      <c r="C137" s="186"/>
      <c r="D137" s="205"/>
      <c r="E137" s="188"/>
      <c r="F137" s="226"/>
      <c r="G137" s="296" t="str">
        <f ca="1">IF(L137="b","",IF(L137="l",0,FIXED(F137,K137,0)&amp;M137))</f>
        <v/>
      </c>
      <c r="H137" s="187"/>
      <c r="I137" s="189"/>
      <c r="K137" s="215"/>
      <c r="L137" t="str">
        <f t="shared" ca="1" si="21"/>
        <v>b</v>
      </c>
      <c r="M137" t="str">
        <f>REPT(" ",3-K137)&amp;IF(K137=0," ","")</f>
        <v xml:space="preserve">    </v>
      </c>
      <c r="O137" s="194"/>
      <c r="P137" s="208">
        <f>IF(ISNUMBER(D137),LOOKUP(D137,$AB$5:$AC$7),D137)</f>
        <v>0</v>
      </c>
      <c r="Q137" s="208">
        <f t="shared" si="23"/>
        <v>0</v>
      </c>
      <c r="R137" s="301" t="str">
        <f t="shared" ca="1" si="22"/>
        <v/>
      </c>
      <c r="S137" s="305">
        <f>H137</f>
        <v>0</v>
      </c>
      <c r="T137" s="150"/>
      <c r="U137" s="216">
        <f ca="1">IF(L137="l","",IF(D137+F137&gt;0,SUM(Z137:AA137),-1))</f>
        <v>-1</v>
      </c>
      <c r="V137" s="386"/>
      <c r="W137" s="107"/>
      <c r="Z137" s="114">
        <f>IF(D137&gt;0,0,TRUNC(F137*T137+Y137*X137))</f>
        <v>0</v>
      </c>
      <c r="AA137" t="b">
        <f>IF($D137=1,SUM(Z$13:Z135)-SUM(AA$13:AA135),IF($D137=2,$AA$6,IF($D137=3,TRUNC($AA$6,-3))))</f>
        <v>0</v>
      </c>
      <c r="AB137">
        <f ca="1">IF(OR(AC$8=0,L136="l",D137&gt;0,U137=-1),0,IF(L136="b",-U137,TRUNC(F136*T137)))</f>
        <v>0</v>
      </c>
      <c r="AC137" t="b">
        <f>IF($D137=1,SUM(AB$13:AB135)-SUM(AC$13:AC135),IF($D137=2,$AA$5,IF($D137=3,TRUNC($AA$5,-3))))</f>
        <v>0</v>
      </c>
    </row>
    <row r="138" spans="3:29" ht="15" customHeight="1" x14ac:dyDescent="0.15">
      <c r="C138" s="182"/>
      <c r="D138" s="210"/>
      <c r="E138" s="184"/>
      <c r="F138" s="227"/>
      <c r="G138" s="297" t="str">
        <f ca="1">IF(OR(AC$8=0,L138="b"),"",IF(L138="l",0,"("&amp;FIXED(-F138,K139,0)&amp;M138))</f>
        <v/>
      </c>
      <c r="H138" s="183"/>
      <c r="I138" s="185"/>
      <c r="L138" t="str">
        <f t="shared" ca="1" si="21"/>
        <v>b</v>
      </c>
      <c r="M138" t="str">
        <f>")"&amp;REPT(" ",2-K139)&amp;IF(K139=0," ","")</f>
        <v xml:space="preserve">)   </v>
      </c>
      <c r="O138" s="182"/>
      <c r="P138" s="207">
        <f>D138</f>
        <v>0</v>
      </c>
      <c r="Q138" s="207">
        <f t="shared" si="23"/>
        <v>0</v>
      </c>
      <c r="R138" s="300" t="str">
        <f t="shared" ca="1" si="22"/>
        <v/>
      </c>
      <c r="S138" s="304"/>
      <c r="T138" s="149"/>
      <c r="U138" s="206">
        <f ca="1">IF(OR(AC$8=0,SUM(Z139:AC139)=0),1,IF(L138="l","",SUM(AB139:AC139)))</f>
        <v>1</v>
      </c>
      <c r="V138" s="385"/>
      <c r="W138" s="50"/>
      <c r="Z138"/>
    </row>
    <row r="139" spans="3:29" ht="15" customHeight="1" x14ac:dyDescent="0.15">
      <c r="C139" s="186"/>
      <c r="D139" s="205"/>
      <c r="E139" s="188"/>
      <c r="F139" s="226"/>
      <c r="G139" s="296" t="str">
        <f ca="1">IF(L139="b","",IF(L139="l",0,FIXED(F139,K139,0)&amp;M139))</f>
        <v/>
      </c>
      <c r="H139" s="187"/>
      <c r="I139" s="189"/>
      <c r="K139" s="215"/>
      <c r="L139" t="str">
        <f t="shared" ca="1" si="21"/>
        <v>b</v>
      </c>
      <c r="M139" t="str">
        <f>REPT(" ",3-K139)&amp;IF(K139=0," ","")</f>
        <v xml:space="preserve">    </v>
      </c>
      <c r="O139" s="182"/>
      <c r="P139" s="208">
        <f>IF(ISNUMBER(D139),LOOKUP(D139,$AB$5:$AC$7),D139)</f>
        <v>0</v>
      </c>
      <c r="Q139" s="208">
        <f t="shared" si="23"/>
        <v>0</v>
      </c>
      <c r="R139" s="301" t="str">
        <f t="shared" ca="1" si="22"/>
        <v/>
      </c>
      <c r="S139" s="305">
        <f>H139</f>
        <v>0</v>
      </c>
      <c r="T139" s="150"/>
      <c r="U139" s="216">
        <f ca="1">IF(L139="l","",IF(D139+F139&gt;0,SUM(Z139:AA139),-1))</f>
        <v>-1</v>
      </c>
      <c r="V139" s="386"/>
      <c r="W139" s="107"/>
      <c r="Z139" s="114">
        <f>IF(D139&gt;0,0,TRUNC(F139*T139+Y139*X139))</f>
        <v>0</v>
      </c>
      <c r="AA139" t="b">
        <f>IF($D139=1,SUM(Z$13:Z137)-SUM(AA$13:AA137),IF($D139=2,$AA$6,IF($D139=3,TRUNC($AA$6,-3))))</f>
        <v>0</v>
      </c>
      <c r="AB139">
        <f ca="1">IF(OR(AC$8=0,L138="l",D139&gt;0,U139=-1),0,IF(L138="b",-U139,TRUNC(F138*T139)))</f>
        <v>0</v>
      </c>
      <c r="AC139" t="b">
        <f>IF($D139=1,SUM(AB$13:AB137)-SUM(AC$13:AC137),IF($D139=2,$AA$5,IF($D139=3,TRUNC($AA$5,-3))))</f>
        <v>0</v>
      </c>
    </row>
    <row r="140" spans="3:29" ht="15" customHeight="1" x14ac:dyDescent="0.15">
      <c r="C140" s="182"/>
      <c r="D140" s="210"/>
      <c r="E140" s="184"/>
      <c r="F140" s="227"/>
      <c r="G140" s="297" t="str">
        <f ca="1">IF(OR(AC$8=0,L140="b"),"",IF(L140="l",0,"("&amp;FIXED(-F140,K141,0)&amp;M140))</f>
        <v/>
      </c>
      <c r="H140" s="183"/>
      <c r="I140" s="185"/>
      <c r="L140" t="str">
        <f t="shared" ca="1" si="21"/>
        <v>b</v>
      </c>
      <c r="M140" t="str">
        <f>")"&amp;REPT(" ",2-K141)&amp;IF(K141=0," ","")</f>
        <v xml:space="preserve">)   </v>
      </c>
      <c r="O140" s="182"/>
      <c r="P140" s="207">
        <f>D140</f>
        <v>0</v>
      </c>
      <c r="Q140" s="207">
        <f t="shared" si="23"/>
        <v>0</v>
      </c>
      <c r="R140" s="300" t="str">
        <f t="shared" ca="1" si="22"/>
        <v/>
      </c>
      <c r="S140" s="304"/>
      <c r="T140" s="149"/>
      <c r="U140" s="206">
        <f ca="1">IF(OR(AC$8=0,SUM(Z141:AC141)=0),1,IF(L140="l","",SUM(AB141:AC141)))</f>
        <v>1</v>
      </c>
      <c r="V140" s="385"/>
      <c r="W140" s="50"/>
      <c r="Z140"/>
    </row>
    <row r="141" spans="3:29" ht="15" customHeight="1" x14ac:dyDescent="0.15">
      <c r="C141" s="186"/>
      <c r="D141" s="205"/>
      <c r="E141" s="188"/>
      <c r="F141" s="226"/>
      <c r="G141" s="296" t="str">
        <f ca="1">IF(L141="b","",IF(L141="l",0,FIXED(F141,K141,0)&amp;M141))</f>
        <v/>
      </c>
      <c r="H141" s="187"/>
      <c r="I141" s="189"/>
      <c r="K141" s="215"/>
      <c r="L141" t="str">
        <f t="shared" ca="1" si="21"/>
        <v>b</v>
      </c>
      <c r="M141" t="str">
        <f>REPT(" ",3-K141)&amp;IF(K141=0," ","")</f>
        <v xml:space="preserve">    </v>
      </c>
      <c r="O141" s="182"/>
      <c r="P141" s="208">
        <f>IF(ISNUMBER(D141),LOOKUP(D141,$AB$5:$AC$7),D141)</f>
        <v>0</v>
      </c>
      <c r="Q141" s="208">
        <f t="shared" si="23"/>
        <v>0</v>
      </c>
      <c r="R141" s="301" t="str">
        <f t="shared" ca="1" si="22"/>
        <v/>
      </c>
      <c r="S141" s="305">
        <f>H141</f>
        <v>0</v>
      </c>
      <c r="T141" s="150"/>
      <c r="U141" s="216">
        <f ca="1">IF(L141="l","",IF(D141+F141&gt;0,SUM(Z141:AA141),-1))</f>
        <v>-1</v>
      </c>
      <c r="V141" s="386"/>
      <c r="W141" s="107"/>
      <c r="Z141" s="114">
        <f>IF(D141&gt;0,0,TRUNC(F141*T141+Y141*X141))</f>
        <v>0</v>
      </c>
      <c r="AA141" t="b">
        <f>IF($D141=1,SUM(Z$13:Z139)-SUM(AA$13:AA139),IF($D141=2,$AA$6,IF($D141=3,TRUNC($AA$6,-3))))</f>
        <v>0</v>
      </c>
      <c r="AB141">
        <f ca="1">IF(OR(AC$8=0,L140="l",D141&gt;0,U141=-1),0,IF(L140="b",-U141,TRUNC(F140*T141)))</f>
        <v>0</v>
      </c>
      <c r="AC141" t="b">
        <f>IF($D141=1,SUM(AB$13:AB139)-SUM(AC$13:AC139),IF($D141=2,$AA$5,IF($D141=3,TRUNC($AA$5,-3))))</f>
        <v>0</v>
      </c>
    </row>
    <row r="142" spans="3:29" ht="15" customHeight="1" x14ac:dyDescent="0.15">
      <c r="C142" s="182"/>
      <c r="D142" s="210"/>
      <c r="E142" s="184"/>
      <c r="F142" s="227"/>
      <c r="G142" s="297" t="str">
        <f ca="1">IF(OR(AC$8=0,L142="b"),"",IF(L142="l",0,"("&amp;FIXED(-F142,K143,0)&amp;M142))</f>
        <v/>
      </c>
      <c r="H142" s="183"/>
      <c r="I142" s="185"/>
      <c r="L142" t="str">
        <f t="shared" ca="1" si="21"/>
        <v>b</v>
      </c>
      <c r="M142" t="str">
        <f>")"&amp;REPT(" ",2-K143)&amp;IF(K143=0," ","")</f>
        <v xml:space="preserve">)   </v>
      </c>
      <c r="O142" s="182"/>
      <c r="P142" s="207">
        <f>D142</f>
        <v>0</v>
      </c>
      <c r="Q142" s="207">
        <f t="shared" si="23"/>
        <v>0</v>
      </c>
      <c r="R142" s="300" t="str">
        <f t="shared" ca="1" si="22"/>
        <v/>
      </c>
      <c r="S142" s="304"/>
      <c r="T142" s="149"/>
      <c r="U142" s="206">
        <f ca="1">IF(OR(AC$8=0,SUM(Z143:AC143)=0),1,IF(L142="l","",SUM(AB143:AC143)))</f>
        <v>1</v>
      </c>
      <c r="V142" s="394"/>
      <c r="W142" s="50"/>
      <c r="Z142"/>
    </row>
    <row r="143" spans="3:29" ht="15" customHeight="1" thickBot="1" x14ac:dyDescent="0.2">
      <c r="C143" s="190"/>
      <c r="D143" s="211"/>
      <c r="E143" s="192"/>
      <c r="F143" s="228"/>
      <c r="G143" s="299" t="str">
        <f ca="1">IF(L143="b","",IF(L143="l",0,FIXED(F143,K143,0)&amp;M143))</f>
        <v/>
      </c>
      <c r="H143" s="191"/>
      <c r="I143" s="193"/>
      <c r="K143" s="215"/>
      <c r="L143" t="str">
        <f t="shared" ca="1" si="21"/>
        <v>b</v>
      </c>
      <c r="M143" t="str">
        <f>REPT(" ",3-K143)&amp;IF(K143=0," ","")</f>
        <v xml:space="preserve">    </v>
      </c>
      <c r="O143" s="190"/>
      <c r="P143" s="209">
        <f>IF(ISNUMBER(D143),LOOKUP(D143,$AB$5:$AC$7),D143)</f>
        <v>0</v>
      </c>
      <c r="Q143" s="209">
        <f t="shared" si="23"/>
        <v>0</v>
      </c>
      <c r="R143" s="302" t="str">
        <f t="shared" ca="1" si="22"/>
        <v/>
      </c>
      <c r="S143" s="306">
        <f>H143</f>
        <v>0</v>
      </c>
      <c r="T143" s="151"/>
      <c r="U143" s="217">
        <f ca="1">IF(L143="l","",IF(D143+F143&gt;0,SUM(Z143:AA143),-1))</f>
        <v>-1</v>
      </c>
      <c r="V143" s="396"/>
      <c r="W143" s="55"/>
      <c r="Z143" s="114">
        <f>IF(D143&gt;0,0,TRUNC(F143*T143+Y143*X143))</f>
        <v>0</v>
      </c>
      <c r="AA143" t="b">
        <f>IF($D143=1,SUM(Z$13:Z141)-SUM(AA$13:AA141),IF($D143=2,$AA$6,IF($D143=3,TRUNC($AA$6,-3))))</f>
        <v>0</v>
      </c>
      <c r="AB143">
        <f ca="1">IF(OR(AC$8=0,L142="l",D143&gt;0,U143=-1),0,IF(L142="b",-U143,TRUNC(F142*T143)))</f>
        <v>0</v>
      </c>
      <c r="AC143" t="b">
        <f>IF($D143=1,SUM(AB$13:AB141)-SUM(AC$13:AC141),IF($D143=2,$AA$5,IF($D143=3,TRUNC($AA$5,-3))))</f>
        <v>0</v>
      </c>
    </row>
  </sheetData>
  <mergeCells count="4">
    <mergeCell ref="V9:V11"/>
    <mergeCell ref="O9:O11"/>
    <mergeCell ref="O75:O77"/>
    <mergeCell ref="V75:V77"/>
  </mergeCells>
  <phoneticPr fontId="8"/>
  <conditionalFormatting sqref="O53 O51 O67 O113 O107 O83 O109 O111 O19 O115 O117 O119 O121 O135 O137 O123 O125 O17 O127 O57 O129 O131 O133 O21 O85 O39 O71 O15 O73 O87 O65 O81 O79 O27 O29 O13 O23 O25 O43 O97 O99 O69 O33:O37 O91 O89 O41 O49 O55 O93 O95 O105 O47 O45 O62 O59:O60">
    <cfRule type="expression" dxfId="1" priority="1" stopIfTrue="1">
      <formula>D13=1</formula>
    </cfRule>
  </conditionalFormatting>
  <dataValidations count="1">
    <dataValidation imeMode="off" showInputMessage="1" showErrorMessage="1" promptTitle="警告" prompt="計算式が設定されています_x000a_入力を続けますか?" sqref="G78:G143 G12:G73" xr:uid="{00000000-0002-0000-1300-000000000000}"/>
  </dataValidations>
  <pageMargins left="0.70866141732283472" right="0.19685039370078741" top="0.78740157480314965" bottom="0.39370078740157483" header="0" footer="0"/>
  <pageSetup paperSize="9" scale="80" orientation="portrait" blackAndWhite="1"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ransitionEvaluation="1"/>
  <dimension ref="A1:AD143"/>
  <sheetViews>
    <sheetView view="pageBreakPreview" topLeftCell="N1" zoomScale="90" zoomScaleNormal="90" zoomScaleSheetLayoutView="40" workbookViewId="0">
      <selection activeCell="N1" sqref="N1"/>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4.625" customWidth="1"/>
    <col min="18" max="18" width="12.125" customWidth="1"/>
    <col min="19" max="19" width="4.625" customWidth="1"/>
    <col min="20" max="20" width="10.625" customWidth="1"/>
    <col min="21" max="21" width="15.625" customWidth="1"/>
    <col min="22" max="22" width="8.625" customWidth="1"/>
    <col min="23" max="23" width="16.625" customWidth="1"/>
    <col min="26" max="26" width="9.625" style="114" customWidth="1"/>
    <col min="27" max="29" width="9.625" customWidth="1"/>
  </cols>
  <sheetData>
    <row r="1" spans="1:30" x14ac:dyDescent="0.15">
      <c r="D1" t="s">
        <v>307</v>
      </c>
      <c r="F1" t="s">
        <v>308</v>
      </c>
    </row>
    <row r="2" spans="1:30" x14ac:dyDescent="0.15">
      <c r="D2" t="s">
        <v>272</v>
      </c>
      <c r="F2" s="224" t="s">
        <v>267</v>
      </c>
    </row>
    <row r="3" spans="1:30" x14ac:dyDescent="0.15">
      <c r="D3" t="s">
        <v>274</v>
      </c>
      <c r="F3" s="224" t="s">
        <v>271</v>
      </c>
    </row>
    <row r="4" spans="1:30" ht="14.25" thickBot="1" x14ac:dyDescent="0.2">
      <c r="C4" t="s">
        <v>214</v>
      </c>
      <c r="D4" t="s">
        <v>273</v>
      </c>
      <c r="F4" s="224" t="s">
        <v>268</v>
      </c>
      <c r="O4" t="s">
        <v>214</v>
      </c>
      <c r="AC4" t="s">
        <v>89</v>
      </c>
    </row>
    <row r="5" spans="1:30" x14ac:dyDescent="0.15">
      <c r="B5" s="100" t="s">
        <v>83</v>
      </c>
      <c r="N5" t="s">
        <v>215</v>
      </c>
      <c r="O5" s="16"/>
      <c r="P5" s="17"/>
      <c r="Q5" s="17"/>
      <c r="R5" s="18"/>
      <c r="S5" s="17"/>
      <c r="T5" s="18"/>
      <c r="U5" s="18"/>
      <c r="V5" s="18"/>
      <c r="W5" s="19"/>
      <c r="Z5" s="100" t="s">
        <v>216</v>
      </c>
      <c r="AA5">
        <f ca="1">SUM(INDIRECT(AD$6))</f>
        <v>0</v>
      </c>
      <c r="AB5">
        <v>1</v>
      </c>
      <c r="AC5" t="s">
        <v>219</v>
      </c>
      <c r="AD5" t="s">
        <v>217</v>
      </c>
    </row>
    <row r="6" spans="1:30" ht="21" customHeight="1" x14ac:dyDescent="0.2">
      <c r="N6" s="284"/>
      <c r="O6" s="457" t="s">
        <v>398</v>
      </c>
      <c r="P6" s="25"/>
      <c r="Q6" s="25"/>
      <c r="R6" s="25"/>
      <c r="S6" s="25"/>
      <c r="T6" s="25"/>
      <c r="U6" s="25"/>
      <c r="V6" s="25"/>
      <c r="W6" s="26"/>
      <c r="Z6" s="100" t="s">
        <v>218</v>
      </c>
      <c r="AA6">
        <f ca="1">SUM(INDIRECT(AD$7))</f>
        <v>77102</v>
      </c>
      <c r="AB6">
        <v>2</v>
      </c>
      <c r="AC6" t="s">
        <v>104</v>
      </c>
      <c r="AD6" t="str">
        <f>"AB10..AB"&amp;FIXED(AA7,0,TRUE)</f>
        <v>AB10..AB73</v>
      </c>
    </row>
    <row r="7" spans="1:30" ht="18.75" x14ac:dyDescent="0.2">
      <c r="C7" s="456" t="s">
        <v>397</v>
      </c>
      <c r="D7" s="101"/>
      <c r="E7" s="101"/>
      <c r="F7" s="101"/>
      <c r="G7" s="101"/>
      <c r="H7" s="101"/>
      <c r="I7" s="101"/>
      <c r="N7" s="285"/>
      <c r="O7" s="283"/>
      <c r="P7" s="20"/>
      <c r="Q7" s="458" t="str">
        <f ca="1">IF(OR(AC8=0,TRUNC(AA5,-3)+TRUNC(AA6,-3)=0),"",TRUNC(AA5,-3))</f>
        <v/>
      </c>
      <c r="R7" s="21"/>
      <c r="S7" s="20"/>
      <c r="T7" s="21"/>
      <c r="U7" s="21"/>
      <c r="V7" s="21"/>
      <c r="W7" s="104"/>
      <c r="Z7" s="100" t="s">
        <v>221</v>
      </c>
      <c r="AA7" s="410">
        <v>73</v>
      </c>
      <c r="AB7">
        <v>3</v>
      </c>
      <c r="AC7" t="s">
        <v>230</v>
      </c>
      <c r="AD7" t="str">
        <f>"Z10..Z"&amp;FIXED(AA7,0,TRUE)</f>
        <v>Z10..Z73</v>
      </c>
    </row>
    <row r="8" spans="1:30" ht="18.75" customHeight="1" thickBot="1" x14ac:dyDescent="0.25">
      <c r="A8" t="b">
        <f>SUM(F13:F73)&gt;0</f>
        <v>1</v>
      </c>
      <c r="B8">
        <f>SUM(A8:A143)</f>
        <v>1</v>
      </c>
      <c r="I8" s="111" t="str">
        <f>"( "&amp;FIXED($A8,0)&amp;" ／ "&amp;FIXED($B$8,0)&amp;" )"</f>
        <v>( 1 ／ 1 )</v>
      </c>
      <c r="N8" s="285"/>
      <c r="O8" s="283"/>
      <c r="P8" s="20"/>
      <c r="Q8" s="459">
        <f ca="1">TRUNC(AA6,-3)</f>
        <v>77000</v>
      </c>
      <c r="R8" s="21"/>
      <c r="S8" s="20"/>
      <c r="T8" s="21"/>
      <c r="U8" s="21"/>
      <c r="V8" s="21"/>
      <c r="W8" s="112" t="str">
        <f>"( "&amp;FIXED($A8,0)&amp;" ／ "&amp;FIXED($B$8,0)&amp;" )"</f>
        <v>( 1 ／ 1 )</v>
      </c>
      <c r="AC8">
        <f>鏡!H2-1</f>
        <v>0</v>
      </c>
      <c r="AD8" t="str">
        <f>"A5..A"&amp;FIXED(AA7,0,TRUE)</f>
        <v>A5..A73</v>
      </c>
    </row>
    <row r="9" spans="1:30" ht="13.5" customHeight="1" x14ac:dyDescent="0.15">
      <c r="C9" s="16"/>
      <c r="D9" s="102"/>
      <c r="E9" s="102"/>
      <c r="F9" s="18"/>
      <c r="G9" s="102"/>
      <c r="H9" s="102"/>
      <c r="I9" s="48"/>
      <c r="O9" s="756" t="s">
        <v>258</v>
      </c>
      <c r="P9" s="4"/>
      <c r="Q9" s="4"/>
      <c r="R9" s="5"/>
      <c r="S9" s="4"/>
      <c r="T9" s="14" t="s">
        <v>88</v>
      </c>
      <c r="U9" s="15"/>
      <c r="V9" s="755" t="s">
        <v>257</v>
      </c>
      <c r="W9" s="105"/>
    </row>
    <row r="10" spans="1:30"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Z10" t="str">
        <f>IF(AC8=0,"当初","出来高")</f>
        <v>当初</v>
      </c>
      <c r="AB10" t="s">
        <v>216</v>
      </c>
    </row>
    <row r="11" spans="1:30" ht="14.25" thickBot="1" x14ac:dyDescent="0.2">
      <c r="C11" s="71"/>
      <c r="D11" s="40"/>
      <c r="E11" s="40"/>
      <c r="F11" s="36"/>
      <c r="G11" s="40"/>
      <c r="H11" s="40"/>
      <c r="I11" s="52"/>
      <c r="K11" s="1" t="s">
        <v>259</v>
      </c>
      <c r="O11" s="758"/>
      <c r="P11" s="39"/>
      <c r="Q11" s="39"/>
      <c r="R11" s="40"/>
      <c r="S11" s="39"/>
      <c r="T11" s="56" t="s">
        <v>96</v>
      </c>
      <c r="U11" s="56" t="s">
        <v>96</v>
      </c>
      <c r="V11" s="750"/>
      <c r="W11" s="52"/>
      <c r="Z11"/>
    </row>
    <row r="12" spans="1:30" ht="15" customHeight="1" thickTop="1" x14ac:dyDescent="0.15">
      <c r="C12" s="368"/>
      <c r="D12" s="212" t="s">
        <v>362</v>
      </c>
      <c r="E12" s="184"/>
      <c r="F12" s="225"/>
      <c r="G12" s="297" t="str">
        <f ca="1">IF(OR(AC$8=0,L12="b"),"",IF(L12="l",0,"("&amp;FIXED(-F12,K13,0)&amp;M12))</f>
        <v/>
      </c>
      <c r="H12" s="183"/>
      <c r="I12" s="185"/>
      <c r="L12" t="str">
        <f t="shared" ref="L12:L19" ca="1" si="0">CELL("type",F12)</f>
        <v>b</v>
      </c>
      <c r="M12" t="str">
        <f>")"&amp;REPT(" ",2-K13)&amp;IF(K13=0," ","")</f>
        <v xml:space="preserve">) </v>
      </c>
      <c r="O12" s="253"/>
      <c r="P12" s="317" t="str">
        <f>D12</f>
        <v>　耐衝撃性硬質</v>
      </c>
      <c r="Q12" s="207">
        <f>E12</f>
        <v>0</v>
      </c>
      <c r="R12" s="300" t="str">
        <f t="shared" ref="R12:R19" ca="1" si="1">G12</f>
        <v/>
      </c>
      <c r="S12" s="304"/>
      <c r="T12" s="144"/>
      <c r="U12" s="206">
        <f ca="1">IF(OR(AC$8=0,SUM(Z13:AC13)=0),1,IF(L12="l","",SUM(AB13:AC13)))</f>
        <v>1</v>
      </c>
      <c r="V12" s="385"/>
      <c r="W12" s="50" t="str">
        <f ca="1">IF(OR(AC$8=0,SUM(Z13:AC13)=0),"",CONCATENATE("(",FIXED(-#REF!,0),")"))</f>
        <v/>
      </c>
      <c r="Z12"/>
    </row>
    <row r="13" spans="1:30" ht="15" customHeight="1" x14ac:dyDescent="0.15">
      <c r="C13" s="186" t="s">
        <v>432</v>
      </c>
      <c r="D13" s="213" t="s">
        <v>363</v>
      </c>
      <c r="E13" s="188" t="s">
        <v>380</v>
      </c>
      <c r="F13" s="226">
        <v>1.1000000000000001</v>
      </c>
      <c r="G13" s="296" t="str">
        <f ca="1">IF(L13="b","",IF(L13="l",0,FIXED(F13,K13,0)&amp;M13))</f>
        <v xml:space="preserve">1.1  </v>
      </c>
      <c r="H13" s="187" t="s">
        <v>24</v>
      </c>
      <c r="I13" s="189" t="s">
        <v>387</v>
      </c>
      <c r="K13" s="215">
        <v>1</v>
      </c>
      <c r="L13" t="str">
        <f t="shared" ca="1" si="0"/>
        <v>v</v>
      </c>
      <c r="M13" t="str">
        <f>REPT(" ",3-K13)&amp;IF(K13=0," ","")</f>
        <v xml:space="preserve">  </v>
      </c>
      <c r="O13" s="194"/>
      <c r="P13" s="256" t="str">
        <f>IF(ISNUMBER(D13),LOOKUP(D13,$AB$5:$AC$7),D13)</f>
        <v>ビニル電線管　</v>
      </c>
      <c r="Q13" s="208" t="str">
        <f t="shared" ref="Q13:Q19" si="2">E13</f>
        <v>HIVE (16)</v>
      </c>
      <c r="R13" s="301" t="str">
        <f t="shared" ca="1" si="1"/>
        <v xml:space="preserve">1.1  </v>
      </c>
      <c r="S13" s="305" t="str">
        <f>H13</f>
        <v>ｍ</v>
      </c>
      <c r="T13" s="145">
        <v>77</v>
      </c>
      <c r="U13" s="216">
        <f ca="1">IF(L13="l","",IF(D13+F13&gt;0,SUM(Z13:AA13),-1))</f>
        <v>84</v>
      </c>
      <c r="V13" s="386">
        <v>11</v>
      </c>
      <c r="W13" s="107"/>
      <c r="Y13" s="114"/>
      <c r="Z13" s="114">
        <f>IF(D13&gt;0,0,TRUNC(F13*T13+Y13*X13))</f>
        <v>84</v>
      </c>
      <c r="AA13" t="b">
        <f>IF($D13=1,SUM(Z11:Z$13)-SUM(AA11:AA$13),IF($D13=2,$AA$6,IF($D13=3,TRUNC($AA$6,-3))))</f>
        <v>0</v>
      </c>
      <c r="AB13">
        <f ca="1">IF(OR(AC$8=0,L12="l",D13&gt;0,U13=-1),0,IF(L12="b",-U13,TRUNC(F12*T13)))</f>
        <v>0</v>
      </c>
      <c r="AC13" t="b">
        <f>IF($D13=1,SUM(AB11:AB$13)-SUM(AC11:AC$13),IF($D13=2,$AA$5,IF($D13=3,TRUNC($AA$5,-3))))</f>
        <v>0</v>
      </c>
    </row>
    <row r="14" spans="1:30" ht="15" customHeight="1" x14ac:dyDescent="0.15">
      <c r="C14" s="182"/>
      <c r="D14" s="210"/>
      <c r="E14" s="184"/>
      <c r="F14" s="227"/>
      <c r="G14" s="297" t="str">
        <f ca="1">IF(OR(AC$8=0,L14="b"),"",IF(L14="l",0,"("&amp;FIXED(-F14,K15,0)&amp;M14))</f>
        <v/>
      </c>
      <c r="H14" s="183"/>
      <c r="I14" s="185"/>
      <c r="L14" t="str">
        <f t="shared" ca="1" si="0"/>
        <v>b</v>
      </c>
      <c r="M14" t="str">
        <f>")"&amp;REPT(" ",2-K15)&amp;IF(K15=0," ","")</f>
        <v xml:space="preserve">) </v>
      </c>
      <c r="O14" s="194" t="s">
        <v>433</v>
      </c>
      <c r="P14" s="207">
        <f>D14</f>
        <v>0</v>
      </c>
      <c r="Q14" s="207">
        <f t="shared" si="2"/>
        <v>0</v>
      </c>
      <c r="R14" s="300" t="str">
        <f t="shared" ca="1" si="1"/>
        <v/>
      </c>
      <c r="S14" s="304"/>
      <c r="T14" s="144"/>
      <c r="U14" s="206">
        <f ca="1">IF(OR(AC$8=0,SUM(Z15:AC15)=0),1,IF(L14="l","",SUM(AB15:AC15)))</f>
        <v>1</v>
      </c>
      <c r="V14" s="385"/>
      <c r="W14" s="50"/>
      <c r="Z14"/>
    </row>
    <row r="15" spans="1:30" ht="15" customHeight="1" x14ac:dyDescent="0.15">
      <c r="C15" s="186"/>
      <c r="D15" s="205" t="s">
        <v>22</v>
      </c>
      <c r="E15" s="188" t="s">
        <v>374</v>
      </c>
      <c r="F15" s="226">
        <v>2.2000000000000002</v>
      </c>
      <c r="G15" s="296" t="str">
        <f ca="1">IF(L15="b","",IF(L15="l",0,FIXED(F15,K15,0)&amp;M15))</f>
        <v xml:space="preserve">2.2  </v>
      </c>
      <c r="H15" s="187" t="s">
        <v>24</v>
      </c>
      <c r="I15" s="189" t="s">
        <v>390</v>
      </c>
      <c r="K15" s="215">
        <v>1</v>
      </c>
      <c r="L15" t="str">
        <f t="shared" ca="1" si="0"/>
        <v>v</v>
      </c>
      <c r="M15" t="str">
        <f>REPT(" ",3-K15)&amp;IF(K15=0," ","")</f>
        <v xml:space="preserve">  </v>
      </c>
      <c r="O15" s="194"/>
      <c r="P15" s="208" t="str">
        <f>IF(ISNUMBER(D15),LOOKUP(D15,$AB$5:$AC$7),D15)</f>
        <v>〃</v>
      </c>
      <c r="Q15" s="208" t="str">
        <f t="shared" si="2"/>
        <v>HIVE (36)</v>
      </c>
      <c r="R15" s="301" t="str">
        <f t="shared" ca="1" si="1"/>
        <v xml:space="preserve">2.2  </v>
      </c>
      <c r="S15" s="305" t="str">
        <f>H15</f>
        <v>ｍ</v>
      </c>
      <c r="T15" s="145">
        <v>257</v>
      </c>
      <c r="U15" s="216">
        <f ca="1">IF(L15="l","",IF(D15+F15&gt;0,SUM(Z15:AA15),-1))</f>
        <v>565</v>
      </c>
      <c r="V15" s="386">
        <v>14</v>
      </c>
      <c r="W15" s="107"/>
      <c r="Z15" s="114">
        <f>IF(D15&gt;0,0,TRUNC(F15*T15+Y15*X15))</f>
        <v>565</v>
      </c>
      <c r="AA15" t="b">
        <f>IF($D15=1,SUM(Z$13:Z13)-SUM(AA$13:AA13),IF($D15=2,$AA$6,IF($D15=3,TRUNC($AA$6,-3))))</f>
        <v>0</v>
      </c>
      <c r="AB15">
        <f ca="1">IF(OR(AC$8=0,L14="l",D15&gt;0,U15=-1),0,IF(L14="b",-U15,TRUNC(F14*T15)))</f>
        <v>0</v>
      </c>
      <c r="AC15" t="b">
        <f>IF($D15=1,SUM(AB$13:AB13)-SUM(AC$13:AC13),IF($D15=2,$AA$5,IF($D15=3,TRUNC($AA$5,-3))))</f>
        <v>0</v>
      </c>
    </row>
    <row r="16" spans="1:30" ht="15" customHeight="1" x14ac:dyDescent="0.15">
      <c r="C16" s="182"/>
      <c r="D16" s="210"/>
      <c r="E16" s="184"/>
      <c r="F16" s="227"/>
      <c r="G16" s="297" t="str">
        <f ca="1">IF(OR(AC$8=0,L16="b"),"",IF(L16="l",0,"("&amp;FIXED(-F16,K17,0)&amp;M16))</f>
        <v/>
      </c>
      <c r="H16" s="183"/>
      <c r="I16" s="185"/>
      <c r="L16" t="str">
        <f t="shared" ca="1" si="0"/>
        <v>b</v>
      </c>
      <c r="M16" t="str">
        <f>")"&amp;REPT(" ",2-K17)&amp;IF(K17=0," ","")</f>
        <v xml:space="preserve">)   </v>
      </c>
      <c r="O16" s="194" t="s">
        <v>15</v>
      </c>
      <c r="P16" s="207">
        <f>D16</f>
        <v>0</v>
      </c>
      <c r="Q16" s="207">
        <f t="shared" si="2"/>
        <v>0</v>
      </c>
      <c r="R16" s="300" t="str">
        <f t="shared" ca="1" si="1"/>
        <v/>
      </c>
      <c r="S16" s="304"/>
      <c r="T16" s="144"/>
      <c r="U16" s="206">
        <f ca="1">IF(OR(AC$8=0,SUM(Z17:AC17)=0),1,IF(L16="l","",SUM(AB17:AC17)))</f>
        <v>1</v>
      </c>
      <c r="V16" s="385"/>
      <c r="W16" s="50" t="str">
        <f ca="1">IF(OR(AC$8=0,SUM(Z17:AC17)=0),"",CONCATENATE("(",FIXED(-#REF!,0),")"))</f>
        <v/>
      </c>
      <c r="Y16">
        <f ca="1">SUM(AB13:AB15)</f>
        <v>0</v>
      </c>
      <c r="Z16"/>
    </row>
    <row r="17" spans="3:29" ht="15" customHeight="1" x14ac:dyDescent="0.15">
      <c r="C17" s="186"/>
      <c r="D17" s="205" t="s">
        <v>233</v>
      </c>
      <c r="E17" s="188" t="s">
        <v>14</v>
      </c>
      <c r="F17" s="226">
        <v>1</v>
      </c>
      <c r="G17" s="296" t="str">
        <f ca="1">IF(L17="b","",IF(L17="l",0,FIXED(F17,K17,0)&amp;M17))</f>
        <v xml:space="preserve">1    </v>
      </c>
      <c r="H17" s="187" t="s">
        <v>99</v>
      </c>
      <c r="I17" s="189" t="s">
        <v>421</v>
      </c>
      <c r="K17" s="215"/>
      <c r="L17" t="str">
        <f t="shared" ca="1" si="0"/>
        <v>v</v>
      </c>
      <c r="M17" t="str">
        <f>REPT(" ",3-K17)&amp;IF(K17=0," ","")</f>
        <v xml:space="preserve">    </v>
      </c>
      <c r="O17" s="194"/>
      <c r="P17" s="208" t="str">
        <f>IF(ISNUMBER(D17),LOOKUP(D17,$AB$5:$AC$7),D17)</f>
        <v>付  属  材  料</v>
      </c>
      <c r="Q17" s="208" t="str">
        <f t="shared" si="2"/>
        <v>上記材料費の 30％</v>
      </c>
      <c r="R17" s="301" t="str">
        <f t="shared" ca="1" si="1"/>
        <v xml:space="preserve">1    </v>
      </c>
      <c r="S17" s="305" t="str">
        <f>H17</f>
        <v>式</v>
      </c>
      <c r="T17" s="145"/>
      <c r="U17" s="216">
        <f ca="1">IF(L17="l","",IF(D17+F17&gt;0,SUM(Z17:AA17),-1))</f>
        <v>194</v>
      </c>
      <c r="V17" s="386"/>
      <c r="W17" s="107" t="str">
        <f>TEXT(Y17," #,0×")&amp;TEXT(X17,"0.00＝")</f>
        <v xml:space="preserve"> 649×0.30＝</v>
      </c>
      <c r="X17">
        <f>VALUE(RIGHT(E17,4))</f>
        <v>0.3</v>
      </c>
      <c r="Y17" s="114">
        <f>SUM(Z13:Z15)</f>
        <v>649</v>
      </c>
      <c r="Z17" s="114">
        <f>IF(D17&gt;0,0,TRUNC(F17*T17+Y17*X17))</f>
        <v>194</v>
      </c>
      <c r="AA17" t="b">
        <f>IF($D17=1,SUM(Z$13:Z15)-SUM(AA$13:AA15),IF($D17=2,$AA$6,IF($D17=3,TRUNC($AA$6,-3))))</f>
        <v>0</v>
      </c>
      <c r="AB17">
        <f ca="1">IF(OR(AC$8=0,L16="l",D17&gt;0,U17=-1),0,IF(L16="b",-U17,TRUNC(F16*T17)))</f>
        <v>0</v>
      </c>
      <c r="AC17" t="b">
        <f>IF($D17=1,SUM(AB$13:AB15)-SUM(AC$13:AC15),IF($D17=2,$AA$5,IF($D17=3,TRUNC($AA$5,-3))))</f>
        <v>0</v>
      </c>
    </row>
    <row r="18" spans="3:29" ht="15" customHeight="1" x14ac:dyDescent="0.15">
      <c r="C18" s="182"/>
      <c r="D18" s="210"/>
      <c r="E18" s="184"/>
      <c r="F18" s="225"/>
      <c r="G18" s="297" t="str">
        <f ca="1">IF(OR(AC$8=0,L18="b"),"",IF(L18="l",0,"("&amp;FIXED(-F18,K19,0)&amp;M18))</f>
        <v/>
      </c>
      <c r="H18" s="183"/>
      <c r="I18" s="185"/>
      <c r="L18" t="str">
        <f t="shared" ca="1" si="0"/>
        <v>b</v>
      </c>
      <c r="M18" t="str">
        <f>")"&amp;REPT(" ",2-K19)&amp;IF(K19=0," ","")</f>
        <v xml:space="preserve">)   </v>
      </c>
      <c r="O18" s="194" t="s">
        <v>30</v>
      </c>
      <c r="P18" s="207">
        <f>D18</f>
        <v>0</v>
      </c>
      <c r="Q18" s="207">
        <f t="shared" si="2"/>
        <v>0</v>
      </c>
      <c r="R18" s="300" t="str">
        <f t="shared" ca="1" si="1"/>
        <v/>
      </c>
      <c r="S18" s="304"/>
      <c r="T18" s="149"/>
      <c r="U18" s="206">
        <f ca="1">IF(OR(AC$8=0,SUM(Z19:AC19)=0),1,IF(L18="l","",SUM(AB19:AC19)))</f>
        <v>1</v>
      </c>
      <c r="V18" s="385"/>
      <c r="W18" s="50"/>
      <c r="Z18"/>
    </row>
    <row r="19" spans="3:29" ht="15" customHeight="1" x14ac:dyDescent="0.15">
      <c r="C19" s="186"/>
      <c r="D19" s="205"/>
      <c r="E19" s="188"/>
      <c r="F19" s="226"/>
      <c r="G19" s="296" t="str">
        <f ca="1">IF(L19="b","",IF(L19="l",0,FIXED(F19,K19,0)&amp;M19))</f>
        <v/>
      </c>
      <c r="H19" s="187"/>
      <c r="I19" s="189"/>
      <c r="K19" s="215"/>
      <c r="L19" t="str">
        <f t="shared" ca="1" si="0"/>
        <v>b</v>
      </c>
      <c r="M19" t="str">
        <f>REPT(" ",3-K19)&amp;IF(K19=0," ","")</f>
        <v xml:space="preserve">    </v>
      </c>
      <c r="O19" s="194"/>
      <c r="P19" s="208">
        <f>IF(ISNUMBER(D19),LOOKUP(D19,$AB$5:$AC$7),D19)</f>
        <v>0</v>
      </c>
      <c r="Q19" s="208">
        <f t="shared" si="2"/>
        <v>0</v>
      </c>
      <c r="R19" s="301" t="str">
        <f t="shared" ca="1" si="1"/>
        <v/>
      </c>
      <c r="S19" s="305">
        <f>H19</f>
        <v>0</v>
      </c>
      <c r="T19" s="150"/>
      <c r="U19" s="216">
        <f ca="1">IF(L19="l","",IF(D19+F19&gt;0,SUM(Z19:AA19),-1))</f>
        <v>-1</v>
      </c>
      <c r="V19" s="386"/>
      <c r="W19" s="107"/>
      <c r="Z19" s="114">
        <f>IF(D19&gt;0,0,TRUNC(F19*T19+Y19*X19))</f>
        <v>0</v>
      </c>
      <c r="AA19" t="b">
        <f>IF($D19=1,SUM(Z$13:Z17)-SUM(AA$13:AA17),IF($D19=2,$AA$6,IF($D19=3,TRUNC($AA$6,-3))))</f>
        <v>0</v>
      </c>
      <c r="AB19">
        <f ca="1">IF(OR(AC$8=0,L18="l",D19&gt;0,U19=-1),0,IF(L18="b",-U19,TRUNC(F18*T19)))</f>
        <v>0</v>
      </c>
      <c r="AC19" t="b">
        <f>IF($D19=1,SUM(AB$13:AB17)-SUM(AC$13:AC17),IF($D19=2,$AA$5,IF($D19=3,TRUNC($AA$5,-3))))</f>
        <v>0</v>
      </c>
    </row>
    <row r="20" spans="3:29" ht="15" customHeight="1" x14ac:dyDescent="0.15">
      <c r="C20" s="182"/>
      <c r="D20" s="210"/>
      <c r="E20" s="184"/>
      <c r="F20" s="225"/>
      <c r="G20" s="297" t="str">
        <f ca="1">IF(OR(AC$8=0,L20="b"),"",IF(L20="l",0,"("&amp;FIXED(-F20,K21,0)&amp;M20))</f>
        <v/>
      </c>
      <c r="H20" s="183"/>
      <c r="I20" s="185"/>
      <c r="L20" t="str">
        <f t="shared" ref="L20:L27" ca="1" si="3">CELL("type",F20)</f>
        <v>b</v>
      </c>
      <c r="M20" t="str">
        <f>")"&amp;REPT(" ",2-K21)&amp;IF(K21=0," ","")</f>
        <v xml:space="preserve">)   </v>
      </c>
      <c r="O20" s="194" t="s">
        <v>31</v>
      </c>
      <c r="P20" s="207">
        <f>D20</f>
        <v>0</v>
      </c>
      <c r="Q20" s="207">
        <f t="shared" ref="Q20:Q27" si="4">E20</f>
        <v>0</v>
      </c>
      <c r="R20" s="300" t="str">
        <f t="shared" ref="R20:R27" ca="1" si="5">G20</f>
        <v/>
      </c>
      <c r="S20" s="304"/>
      <c r="T20" s="149"/>
      <c r="U20" s="206">
        <f ca="1">IF(OR(AC$8=0,SUM(Z21:AC21)=0),1,IF(L20="l","",SUM(AB21:AC21)))</f>
        <v>1</v>
      </c>
      <c r="V20" s="385"/>
      <c r="W20" s="50"/>
      <c r="Z20"/>
    </row>
    <row r="21" spans="3:29" ht="15" customHeight="1" x14ac:dyDescent="0.15">
      <c r="C21" s="186"/>
      <c r="D21" s="205"/>
      <c r="E21" s="188"/>
      <c r="F21" s="226"/>
      <c r="G21" s="296" t="str">
        <f ca="1">IF(L21="b","",IF(L21="l",0,FIXED(F21,K21,0)&amp;M21))</f>
        <v/>
      </c>
      <c r="H21" s="187"/>
      <c r="I21" s="189"/>
      <c r="K21" s="215"/>
      <c r="L21" t="str">
        <f t="shared" ca="1" si="3"/>
        <v>b</v>
      </c>
      <c r="M21" t="str">
        <f>REPT(" ",3-K21)&amp;IF(K21=0," ","")</f>
        <v xml:space="preserve">    </v>
      </c>
      <c r="O21" s="194"/>
      <c r="P21" s="208">
        <f>IF(ISNUMBER(D21),LOOKUP(D21,$AB$5:$AC$7),D21)</f>
        <v>0</v>
      </c>
      <c r="Q21" s="208">
        <f t="shared" si="4"/>
        <v>0</v>
      </c>
      <c r="R21" s="301" t="str">
        <f t="shared" ca="1" si="5"/>
        <v/>
      </c>
      <c r="S21" s="305">
        <f>H21</f>
        <v>0</v>
      </c>
      <c r="T21" s="150"/>
      <c r="U21" s="216">
        <f ca="1">IF(L21="l","",IF(D21+F21&gt;0,SUM(Z21:AA21),-1))</f>
        <v>-1</v>
      </c>
      <c r="V21" s="386"/>
      <c r="W21" s="107"/>
      <c r="Z21" s="114">
        <f>IF(D21&gt;0,0,TRUNC(F21*T21+Y21*X21))</f>
        <v>0</v>
      </c>
      <c r="AA21" t="b">
        <f>IF($D21=1,SUM(Z$13:Z19)-SUM(AA$13:AA19),IF($D21=2,$AA$6,IF($D21=3,TRUNC($AA$6,-3))))</f>
        <v>0</v>
      </c>
      <c r="AB21">
        <f ca="1">IF(OR(AC$8=0,L20="l",D21&gt;0,U21=-1),0,IF(L20="b",-U21,TRUNC(F20*T21)))</f>
        <v>0</v>
      </c>
      <c r="AC21" t="b">
        <f>IF($D21=1,SUM(AB$13:AB19)-SUM(AC$13:AC19),IF($D21=2,$AA$5,IF($D21=3,TRUNC($AA$5,-3))))</f>
        <v>0</v>
      </c>
    </row>
    <row r="22" spans="3:29" ht="15" customHeight="1" x14ac:dyDescent="0.15">
      <c r="C22" s="182"/>
      <c r="D22" s="210"/>
      <c r="E22" s="184"/>
      <c r="F22" s="225"/>
      <c r="G22" s="297" t="str">
        <f ca="1">IF(OR(AC$8=0,L22="b"),"",IF(L22="l",0,"("&amp;FIXED(-F22,K23,0)&amp;M22))</f>
        <v/>
      </c>
      <c r="H22" s="183"/>
      <c r="I22" s="185"/>
      <c r="L22" t="str">
        <f t="shared" ca="1" si="3"/>
        <v>b</v>
      </c>
      <c r="M22" t="str">
        <f>")"&amp;REPT(" ",2-K23)&amp;IF(K23=0," ","")</f>
        <v xml:space="preserve">)   </v>
      </c>
      <c r="O22" s="194"/>
      <c r="P22" s="207">
        <f>D22</f>
        <v>0</v>
      </c>
      <c r="Q22" s="207">
        <f t="shared" si="4"/>
        <v>0</v>
      </c>
      <c r="R22" s="300" t="str">
        <f t="shared" ca="1" si="5"/>
        <v/>
      </c>
      <c r="S22" s="304"/>
      <c r="T22" s="144"/>
      <c r="U22" s="206">
        <f ca="1">IF(OR(AC$8=0,SUM(Z23:AC23)=0),1,IF(L22="l","",SUM(AB23:AC23)))</f>
        <v>1</v>
      </c>
      <c r="V22" s="385"/>
      <c r="W22" s="50"/>
      <c r="Z22"/>
    </row>
    <row r="23" spans="3:29" ht="15" customHeight="1" x14ac:dyDescent="0.15">
      <c r="C23" s="186"/>
      <c r="D23" s="205">
        <v>1</v>
      </c>
      <c r="E23" s="188"/>
      <c r="F23" s="226"/>
      <c r="G23" s="296" t="str">
        <f ca="1">IF(L23="b","",IF(L23="l",0,FIXED(F23,K23,0)&amp;M23))</f>
        <v/>
      </c>
      <c r="H23" s="187"/>
      <c r="I23" s="189"/>
      <c r="K23" s="215"/>
      <c r="L23" t="str">
        <f t="shared" ca="1" si="3"/>
        <v>b</v>
      </c>
      <c r="M23" t="str">
        <f>REPT(" ",3-K23)&amp;IF(K23=0," ","")</f>
        <v xml:space="preserve">    </v>
      </c>
      <c r="O23" s="194"/>
      <c r="P23" s="208" t="str">
        <f>IF(ISNUMBER(D23),LOOKUP(D23,$AB$5:$AC$7),D23)</f>
        <v>小    　計</v>
      </c>
      <c r="Q23" s="208">
        <f t="shared" si="4"/>
        <v>0</v>
      </c>
      <c r="R23" s="301" t="str">
        <f t="shared" ca="1" si="5"/>
        <v/>
      </c>
      <c r="S23" s="305">
        <f>H23</f>
        <v>0</v>
      </c>
      <c r="T23" s="145"/>
      <c r="U23" s="216">
        <f ca="1">IF(L23="l","",IF(D23+F23&gt;0,SUM(Z23:AA23),-1))</f>
        <v>843</v>
      </c>
      <c r="V23" s="386"/>
      <c r="W23" s="107"/>
      <c r="Y23" s="114"/>
      <c r="Z23" s="114">
        <f>IF(D23&gt;0,0,TRUNC(F23*T23+Y23*X23))</f>
        <v>0</v>
      </c>
      <c r="AA23">
        <f>IF($D23=1,SUM(Z$13:Z21)-SUM(AA$13:AA21),IF($D23=2,$AA$6,IF($D23=3,TRUNC($AA$6,-3))))</f>
        <v>843</v>
      </c>
      <c r="AB23">
        <f ca="1">IF(OR(AC$8=0,L22="l",D23&gt;0,U23=-1),0,IF(L22="b",-U23,TRUNC(F22*T23)))</f>
        <v>0</v>
      </c>
      <c r="AC23">
        <f ca="1">IF($D23=1,SUM(AB$13:AB21)-SUM(AC$13:AC21),IF($D23=2,$AA$5,IF($D23=3,TRUNC($AA$5,-3))))</f>
        <v>0</v>
      </c>
    </row>
    <row r="24" spans="3:29" ht="15" customHeight="1" x14ac:dyDescent="0.15">
      <c r="C24" s="182"/>
      <c r="D24" s="214" t="s">
        <v>20</v>
      </c>
      <c r="E24" s="184"/>
      <c r="F24" s="227"/>
      <c r="G24" s="297" t="str">
        <f ca="1">IF(OR(AC$8=0,L24="b"),"",IF(L24="l",0,"("&amp;FIXED(-F24,K25,0)&amp;M24))</f>
        <v/>
      </c>
      <c r="H24" s="183"/>
      <c r="I24" s="185"/>
      <c r="L24" t="str">
        <f t="shared" ca="1" si="3"/>
        <v>b</v>
      </c>
      <c r="M24" t="str">
        <f>")"&amp;REPT(" ",2-K25)&amp;IF(K25=0," ","")</f>
        <v xml:space="preserve">) </v>
      </c>
      <c r="O24" s="194"/>
      <c r="P24" s="317" t="str">
        <f>D24</f>
        <v xml:space="preserve">  合成樹脂製</v>
      </c>
      <c r="Q24" s="207">
        <f t="shared" si="4"/>
        <v>0</v>
      </c>
      <c r="R24" s="300" t="str">
        <f t="shared" ca="1" si="5"/>
        <v/>
      </c>
      <c r="S24" s="304"/>
      <c r="T24" s="149"/>
      <c r="U24" s="206">
        <f ca="1">IF(OR(AC$8=0,SUM(Z25:AC25)=0),1,IF(L24="l","",SUM(AB25:AC25)))</f>
        <v>1</v>
      </c>
      <c r="V24" s="385"/>
      <c r="W24" s="69"/>
      <c r="Z24"/>
    </row>
    <row r="25" spans="3:29" ht="15" customHeight="1" x14ac:dyDescent="0.15">
      <c r="C25" s="186" t="s">
        <v>434</v>
      </c>
      <c r="D25" s="213" t="s">
        <v>21</v>
      </c>
      <c r="E25" s="188" t="s">
        <v>463</v>
      </c>
      <c r="F25" s="226">
        <v>0.6</v>
      </c>
      <c r="G25" s="296" t="str">
        <f ca="1">IF(L25="b","",IF(L25="l",0,FIXED(F25,K25,0)&amp;M25))</f>
        <v xml:space="preserve">0.6  </v>
      </c>
      <c r="H25" s="187" t="s">
        <v>311</v>
      </c>
      <c r="I25" s="189" t="s">
        <v>387</v>
      </c>
      <c r="K25" s="215">
        <v>1</v>
      </c>
      <c r="L25" t="str">
        <f t="shared" ca="1" si="3"/>
        <v>v</v>
      </c>
      <c r="M25" t="str">
        <f>REPT(" ",3-K25)&amp;IF(K25=0," ","")</f>
        <v xml:space="preserve">  </v>
      </c>
      <c r="O25" s="194"/>
      <c r="P25" s="256" t="str">
        <f>IF(ISNUMBER(D25),LOOKUP(D25,$AB$5:$AC$7),D25)</f>
        <v xml:space="preserve">可とう電線管 </v>
      </c>
      <c r="Q25" s="208" t="str">
        <f t="shared" si="4"/>
        <v>PF-S (22)</v>
      </c>
      <c r="R25" s="301" t="str">
        <f t="shared" ca="1" si="5"/>
        <v xml:space="preserve">0.6  </v>
      </c>
      <c r="S25" s="305" t="str">
        <f>H25</f>
        <v>ｍ</v>
      </c>
      <c r="T25" s="150">
        <v>73</v>
      </c>
      <c r="U25" s="216">
        <f ca="1">IF(L25="l","",IF(D25+F25&gt;0,SUM(Z25:AA25),-1))</f>
        <v>43</v>
      </c>
      <c r="V25" s="386">
        <v>26</v>
      </c>
      <c r="W25" s="141"/>
      <c r="Z25" s="114">
        <f>IF(D25&gt;0,0,TRUNC(F25*T25+Y25*X25))</f>
        <v>43</v>
      </c>
      <c r="AA25" t="b">
        <f>IF($D25=1,SUM(Z$13:Z23)-SUM(AA$13:AA23),IF($D25=2,$AA$6,IF($D25=3,TRUNC($AA$6,-3))))</f>
        <v>0</v>
      </c>
      <c r="AB25">
        <f ca="1">IF(OR(AC$8=0,L24="l",D25&gt;0,U25=-1),0,IF(L24="b",-U25,TRUNC(F24*T25)))</f>
        <v>0</v>
      </c>
      <c r="AC25" t="b">
        <f>IF($D25=1,SUM(AB$13:AB23)-SUM(AC$13:AC23),IF($D25=2,$AA$5,IF($D25=3,TRUNC($AA$5,-3))))</f>
        <v>0</v>
      </c>
    </row>
    <row r="26" spans="3:29" ht="15" customHeight="1" x14ac:dyDescent="0.15">
      <c r="C26" s="182"/>
      <c r="D26" s="210"/>
      <c r="E26" s="184"/>
      <c r="F26" s="227"/>
      <c r="G26" s="297" t="str">
        <f ca="1">IF(OR(AC$8=0,L26="b"),"",IF(L26="l",0,"("&amp;FIXED(-F26,K27,0)&amp;M26))</f>
        <v/>
      </c>
      <c r="H26" s="183"/>
      <c r="I26" s="185"/>
      <c r="L26" t="str">
        <f t="shared" ca="1" si="3"/>
        <v>b</v>
      </c>
      <c r="M26" t="str">
        <f>")"&amp;REPT(" ",2-K27)&amp;IF(K27=0," ","")</f>
        <v xml:space="preserve">)   </v>
      </c>
      <c r="O26" s="194" t="s">
        <v>15</v>
      </c>
      <c r="P26" s="207">
        <f>D26</f>
        <v>0</v>
      </c>
      <c r="Q26" s="207">
        <f t="shared" si="4"/>
        <v>0</v>
      </c>
      <c r="R26" s="300" t="str">
        <f t="shared" ca="1" si="5"/>
        <v/>
      </c>
      <c r="S26" s="304"/>
      <c r="T26" s="144"/>
      <c r="U26" s="206">
        <f ca="1">IF(OR(AC$8=0,SUM(Z27:AC27)=0),1,IF(L26="l","",SUM(AB27:AC27)))</f>
        <v>1</v>
      </c>
      <c r="V26" s="385"/>
      <c r="W26" s="50" t="str">
        <f ca="1">IF(OR(AC$8=0,SUM(Z27:AC27)=0),"",CONCATENATE("(",FIXED(-#REF!,0),")"))</f>
        <v/>
      </c>
      <c r="Y26">
        <f ca="1">SUM(AB25)</f>
        <v>0</v>
      </c>
      <c r="Z26"/>
    </row>
    <row r="27" spans="3:29" ht="15" customHeight="1" x14ac:dyDescent="0.15">
      <c r="C27" s="186"/>
      <c r="D27" s="205" t="s">
        <v>233</v>
      </c>
      <c r="E27" s="188" t="s">
        <v>14</v>
      </c>
      <c r="F27" s="226">
        <v>1</v>
      </c>
      <c r="G27" s="296" t="str">
        <f ca="1">IF(L27="b","",IF(L27="l",0,FIXED(F27,K27,0)&amp;M27))</f>
        <v xml:space="preserve">1    </v>
      </c>
      <c r="H27" s="187" t="s">
        <v>99</v>
      </c>
      <c r="I27" s="189" t="s">
        <v>421</v>
      </c>
      <c r="K27" s="215"/>
      <c r="L27" t="str">
        <f t="shared" ca="1" si="3"/>
        <v>v</v>
      </c>
      <c r="M27" t="str">
        <f>REPT(" ",3-K27)&amp;IF(K27=0," ","")</f>
        <v xml:space="preserve">    </v>
      </c>
      <c r="O27" s="194"/>
      <c r="P27" s="208" t="str">
        <f>IF(ISNUMBER(D27),LOOKUP(D27,$AB$5:$AC$7),D27)</f>
        <v>付  属  材  料</v>
      </c>
      <c r="Q27" s="208" t="str">
        <f t="shared" si="4"/>
        <v>上記材料費の 30％</v>
      </c>
      <c r="R27" s="301" t="str">
        <f t="shared" ca="1" si="5"/>
        <v xml:space="preserve">1    </v>
      </c>
      <c r="S27" s="305" t="str">
        <f>H27</f>
        <v>式</v>
      </c>
      <c r="T27" s="145"/>
      <c r="U27" s="216">
        <f ca="1">IF(L27="l","",IF(D27+F27&gt;0,SUM(Z27:AA27),-1))</f>
        <v>12</v>
      </c>
      <c r="V27" s="386"/>
      <c r="W27" s="107" t="str">
        <f>TEXT(Y27," #,0×")&amp;TEXT(X27,"0.00＝")</f>
        <v xml:space="preserve"> 43×0.30＝</v>
      </c>
      <c r="X27">
        <f>VALUE(RIGHT(E27,4))</f>
        <v>0.3</v>
      </c>
      <c r="Y27" s="114">
        <f>SUM(Z25)</f>
        <v>43</v>
      </c>
      <c r="Z27" s="114">
        <f>IF(D27&gt;0,0,TRUNC(F27*T27+Y27*X27))</f>
        <v>12</v>
      </c>
      <c r="AA27" t="b">
        <f>IF($D27=1,SUM(Z$13:Z25)-SUM(AA$13:AA25),IF($D27=2,$AA$6,IF($D27=3,TRUNC($AA$6,-3))))</f>
        <v>0</v>
      </c>
      <c r="AB27">
        <f ca="1">IF(OR(AC$8=0,L26="l",D27&gt;0,U27=-1),0,IF(L26="b",-U27,TRUNC(F26*T27)))</f>
        <v>0</v>
      </c>
      <c r="AC27" t="b">
        <f>IF($D27=1,SUM(AB$13:AB25)-SUM(AC$13:AC25),IF($D27=2,$AA$5,IF($D27=3,TRUNC($AA$5,-3))))</f>
        <v>0</v>
      </c>
    </row>
    <row r="28" spans="3:29" ht="15" customHeight="1" x14ac:dyDescent="0.15">
      <c r="C28" s="182"/>
      <c r="D28" s="214"/>
      <c r="E28" s="184"/>
      <c r="F28" s="225"/>
      <c r="G28" s="297" t="str">
        <f ca="1">IF(OR(AC$8=0,L28="b"),"",IF(L28="l",0,"("&amp;FIXED(-F28,K29,0)&amp;M28))</f>
        <v/>
      </c>
      <c r="H28" s="183"/>
      <c r="I28" s="185"/>
      <c r="L28" t="str">
        <f t="shared" ref="L28:L33" ca="1" si="6">CELL("type",F28)</f>
        <v>b</v>
      </c>
      <c r="M28" t="str">
        <f>")"&amp;REPT(" ",2-K29)&amp;IF(K29=0," ","")</f>
        <v xml:space="preserve">)   </v>
      </c>
      <c r="O28" s="194" t="s">
        <v>435</v>
      </c>
      <c r="P28" s="317">
        <f>D28</f>
        <v>0</v>
      </c>
      <c r="Q28" s="207">
        <f>E28</f>
        <v>0</v>
      </c>
      <c r="R28" s="300" t="str">
        <f ca="1">G28</f>
        <v/>
      </c>
      <c r="S28" s="304"/>
      <c r="T28" s="149"/>
      <c r="U28" s="206">
        <f ca="1">IF(OR(AC$8=0,SUM(Z29:AC29)=0),1,IF(L28="l","",SUM(AB29:AC29)))</f>
        <v>1</v>
      </c>
      <c r="V28" s="394"/>
      <c r="W28" s="50"/>
      <c r="Z28"/>
    </row>
    <row r="29" spans="3:29" ht="15" customHeight="1" x14ac:dyDescent="0.15">
      <c r="C29" s="186"/>
      <c r="D29" s="213"/>
      <c r="E29" s="188"/>
      <c r="F29" s="226"/>
      <c r="G29" s="296" t="str">
        <f ca="1">IF(L29="b","",IF(L29="l",0,FIXED(F29,K29,0)&amp;M29))</f>
        <v/>
      </c>
      <c r="H29" s="187"/>
      <c r="I29" s="189"/>
      <c r="K29" s="215"/>
      <c r="L29" t="str">
        <f t="shared" ca="1" si="6"/>
        <v>b</v>
      </c>
      <c r="M29" t="str">
        <f>REPT(" ",3-K29)&amp;IF(K29=0," ","")</f>
        <v xml:space="preserve">    </v>
      </c>
      <c r="O29" s="194"/>
      <c r="P29" s="256">
        <f>IF(ISNUMBER(D29),LOOKUP(D29,$AB$5:$AC$7),D29)</f>
        <v>0</v>
      </c>
      <c r="Q29" s="208">
        <f t="shared" ref="Q29:Q34" si="7">E29</f>
        <v>0</v>
      </c>
      <c r="R29" s="301" t="str">
        <f ca="1">G29</f>
        <v/>
      </c>
      <c r="S29" s="305">
        <f>H29</f>
        <v>0</v>
      </c>
      <c r="T29" s="150"/>
      <c r="U29" s="216">
        <f ca="1">IF(L29="l","",IF(D29+F29&gt;0,SUM(Z29:AA29),-1))</f>
        <v>-1</v>
      </c>
      <c r="V29" s="395"/>
      <c r="W29" s="107"/>
      <c r="Z29" s="114">
        <f>IF(D29&gt;0,0,TRUNC(F29*T29+Y29*X29))</f>
        <v>0</v>
      </c>
      <c r="AA29" t="b">
        <f>IF($D29=1,SUM(Z$13:Z27)-SUM(AA$13:AA27),IF($D29=2,$AA$6,IF($D29=3,TRUNC($AA$6,-3))))</f>
        <v>0</v>
      </c>
      <c r="AB29">
        <f ca="1">IF(OR(AC$8=0,L28="l",D29&gt;0,U29=-1),0,IF(L28="b",-U29,TRUNC(F28*T29)))</f>
        <v>0</v>
      </c>
      <c r="AC29" t="b">
        <f>IF($D29=1,SUM(AB$13:AB27)-SUM(AC$13:AC27),IF($D29=2,$AA$5,IF($D29=3,TRUNC($AA$5,-3))))</f>
        <v>0</v>
      </c>
    </row>
    <row r="30" spans="3:29" ht="15" customHeight="1" x14ac:dyDescent="0.15">
      <c r="C30" s="182"/>
      <c r="D30" s="210"/>
      <c r="E30" s="184"/>
      <c r="F30" s="225"/>
      <c r="G30" s="297" t="str">
        <f ca="1">IF(OR(AC$8=0,L30="b"),"",IF(L30="l",0,"("&amp;FIXED(-F30,K31,0)&amp;M30))</f>
        <v/>
      </c>
      <c r="H30" s="183"/>
      <c r="I30" s="185"/>
      <c r="L30" t="str">
        <f t="shared" ca="1" si="6"/>
        <v>b</v>
      </c>
      <c r="M30" t="str">
        <f>")"&amp;REPT(" ",2-K31)&amp;IF(K31=0," ","")</f>
        <v xml:space="preserve">)   </v>
      </c>
      <c r="O30" s="194" t="s">
        <v>30</v>
      </c>
      <c r="P30" s="207">
        <f>D30</f>
        <v>0</v>
      </c>
      <c r="Q30" s="207">
        <f t="shared" si="7"/>
        <v>0</v>
      </c>
      <c r="R30" s="300" t="str">
        <f t="shared" ref="R30:R41" ca="1" si="8">G30</f>
        <v/>
      </c>
      <c r="S30" s="304"/>
      <c r="T30" s="144"/>
      <c r="U30" s="206">
        <f ca="1">IF(OR(AC$8=0,SUM(Z31:AC31)=0),1,IF(L30="l","",SUM(AB31:AC31)))</f>
        <v>1</v>
      </c>
      <c r="V30" s="385"/>
      <c r="W30" s="50"/>
      <c r="Z30"/>
    </row>
    <row r="31" spans="3:29" ht="15" customHeight="1" x14ac:dyDescent="0.15">
      <c r="C31" s="186"/>
      <c r="D31" s="205"/>
      <c r="E31" s="188"/>
      <c r="F31" s="226"/>
      <c r="G31" s="296" t="str">
        <f ca="1">IF(L31="b","",IF(L31="l",0,FIXED(F31,K31,0)&amp;M31))</f>
        <v/>
      </c>
      <c r="H31" s="187"/>
      <c r="I31" s="189"/>
      <c r="K31" s="215"/>
      <c r="L31" t="str">
        <f t="shared" ca="1" si="6"/>
        <v>b</v>
      </c>
      <c r="M31" t="str">
        <f>REPT(" ",3-K31)&amp;IF(K31=0," ","")</f>
        <v xml:space="preserve">    </v>
      </c>
      <c r="O31" s="194"/>
      <c r="P31" s="208">
        <f>IF(ISNUMBER(D31),LOOKUP(D31,$AB$5:$AC$7),D31)</f>
        <v>0</v>
      </c>
      <c r="Q31" s="208">
        <f t="shared" si="7"/>
        <v>0</v>
      </c>
      <c r="R31" s="301" t="str">
        <f t="shared" ca="1" si="8"/>
        <v/>
      </c>
      <c r="S31" s="305">
        <f>H31</f>
        <v>0</v>
      </c>
      <c r="T31" s="145"/>
      <c r="U31" s="216">
        <f ca="1">IF(L31="l","",IF(D31+F31&gt;0,SUM(Z31:AA31),-1))</f>
        <v>-1</v>
      </c>
      <c r="V31" s="386"/>
      <c r="W31" s="107"/>
      <c r="Y31" s="114"/>
      <c r="Z31" s="114">
        <f>IF(D31&gt;0,0,TRUNC(F31*T31+Y31*X31))</f>
        <v>0</v>
      </c>
      <c r="AA31" t="b">
        <f>IF($D31=1,SUM(Z$13:Z29)-SUM(AA$13:AA29),IF($D31=2,$AA$6,IF($D31=3,TRUNC($AA$6,-3))))</f>
        <v>0</v>
      </c>
      <c r="AB31">
        <f ca="1">IF(OR(AC$8=0,L30="l",D31&gt;0,U31=-1),0,IF(L30="b",-U31,TRUNC(F30*T31)))</f>
        <v>0</v>
      </c>
      <c r="AC31" t="b">
        <f>IF($D31=1,SUM(AB$13:AB29)-SUM(AC$13:AC29),IF($D31=2,$AA$5,IF($D31=3,TRUNC($AA$5,-3))))</f>
        <v>0</v>
      </c>
    </row>
    <row r="32" spans="3:29" ht="15" customHeight="1" x14ac:dyDescent="0.15">
      <c r="C32" s="182"/>
      <c r="D32" s="210"/>
      <c r="E32" s="184"/>
      <c r="F32" s="227"/>
      <c r="G32" s="297" t="str">
        <f ca="1">IF(OR(AC$8=0,L32="b"),"",IF(L32="l",0,"("&amp;FIXED(-F32,K33,0)&amp;M32))</f>
        <v/>
      </c>
      <c r="H32" s="183"/>
      <c r="I32" s="185"/>
      <c r="L32" t="str">
        <f t="shared" ca="1" si="6"/>
        <v>b</v>
      </c>
      <c r="M32" t="str">
        <f>")"&amp;REPT(" ",2-K33)&amp;IF(K33=0," ","")</f>
        <v xml:space="preserve">)   </v>
      </c>
      <c r="O32" s="194" t="s">
        <v>31</v>
      </c>
      <c r="P32" s="207">
        <f>D32</f>
        <v>0</v>
      </c>
      <c r="Q32" s="207">
        <f t="shared" si="7"/>
        <v>0</v>
      </c>
      <c r="R32" s="300" t="str">
        <f t="shared" ca="1" si="8"/>
        <v/>
      </c>
      <c r="S32" s="304"/>
      <c r="T32" s="149"/>
      <c r="U32" s="206">
        <f ca="1">IF(OR(AC$8=0,SUM(Z33:AC33)=0),1,IF(L32="l","",SUM(AB33:AC33)))</f>
        <v>1</v>
      </c>
      <c r="V32" s="394"/>
      <c r="W32" s="50"/>
      <c r="Z32"/>
    </row>
    <row r="33" spans="3:29" ht="15" customHeight="1" x14ac:dyDescent="0.15">
      <c r="C33" s="186"/>
      <c r="D33" s="205">
        <v>1</v>
      </c>
      <c r="E33" s="188"/>
      <c r="F33" s="226"/>
      <c r="G33" s="296" t="str">
        <f ca="1">IF(L33="b","",IF(L33="l",0,FIXED(F33,K33,0)&amp;M33))</f>
        <v/>
      </c>
      <c r="H33" s="187"/>
      <c r="I33" s="189"/>
      <c r="K33" s="215"/>
      <c r="L33" t="str">
        <f t="shared" ca="1" si="6"/>
        <v>b</v>
      </c>
      <c r="M33" t="str">
        <f>REPT(" ",3-K33)&amp;IF(K33=0," ","")</f>
        <v xml:space="preserve">    </v>
      </c>
      <c r="O33" s="194"/>
      <c r="P33" s="208" t="str">
        <f>IF(ISNUMBER(D33),LOOKUP(D33,$AB$5:$AC$7),D33)</f>
        <v>小    　計</v>
      </c>
      <c r="Q33" s="208">
        <f t="shared" si="7"/>
        <v>0</v>
      </c>
      <c r="R33" s="301" t="str">
        <f t="shared" ca="1" si="8"/>
        <v/>
      </c>
      <c r="S33" s="305">
        <f>H33</f>
        <v>0</v>
      </c>
      <c r="T33" s="150"/>
      <c r="U33" s="216">
        <f ca="1">IF(L33="l","",IF(D33+F33&gt;0,SUM(Z33:AA33),-1))</f>
        <v>55</v>
      </c>
      <c r="V33" s="404"/>
      <c r="W33" s="107"/>
      <c r="Z33" s="114">
        <f>IF(D33&gt;0,0,TRUNC(F33*T33+Y33*X33))</f>
        <v>0</v>
      </c>
      <c r="AA33">
        <f>IF($D33=1,SUM(Z$13:Z31)-SUM(AA$13:AA31),IF($D33=2,$AA$6,IF($D33=3,TRUNC($AA$6,-3))))</f>
        <v>55</v>
      </c>
      <c r="AB33">
        <f ca="1">IF(OR(AC$8=0,L32="l",D33&gt;0,U33=-1),0,IF(L32="b",-U33,TRUNC(F32*T33)))</f>
        <v>0</v>
      </c>
      <c r="AC33">
        <f ca="1">IF($D33=1,SUM(AB$13:AB31)-SUM(AC$13:AC31),IF($D33=2,$AA$5,IF($D33=3,TRUNC($AA$5,-3))))</f>
        <v>0</v>
      </c>
    </row>
    <row r="34" spans="3:29" ht="15" customHeight="1" x14ac:dyDescent="0.15">
      <c r="C34" s="182"/>
      <c r="D34" s="214" t="s">
        <v>20</v>
      </c>
      <c r="E34" s="184"/>
      <c r="F34" s="227"/>
      <c r="G34" s="297" t="str">
        <f ca="1">IF(OR(AC$8=0,L34="b"),"",IF(L34="l",0,"("&amp;FIXED(-F34,K35,0)&amp;M34))</f>
        <v/>
      </c>
      <c r="H34" s="183"/>
      <c r="I34" s="185"/>
      <c r="L34" t="str">
        <f t="shared" ref="L34:L41" ca="1" si="9">CELL("type",F34)</f>
        <v>b</v>
      </c>
      <c r="M34" t="str">
        <f>")"&amp;REPT(" ",2-K35)&amp;IF(K35=0," ","")</f>
        <v xml:space="preserve">) </v>
      </c>
      <c r="O34" s="194"/>
      <c r="P34" s="317" t="str">
        <f>D34</f>
        <v xml:space="preserve">  合成樹脂製</v>
      </c>
      <c r="Q34" s="207">
        <f t="shared" si="7"/>
        <v>0</v>
      </c>
      <c r="R34" s="300" t="str">
        <f t="shared" ca="1" si="8"/>
        <v/>
      </c>
      <c r="S34" s="304"/>
      <c r="T34" s="149"/>
      <c r="U34" s="206">
        <f ca="1">IF(OR(AC$8=0,SUM(Z35:AC35)=0),1,IF(L34="l","",SUM(AB35:AC35)))</f>
        <v>1</v>
      </c>
      <c r="V34" s="394"/>
      <c r="W34" s="50"/>
      <c r="Z34"/>
    </row>
    <row r="35" spans="3:29" ht="15" customHeight="1" x14ac:dyDescent="0.15">
      <c r="C35" s="186" t="s">
        <v>437</v>
      </c>
      <c r="D35" s="213" t="s">
        <v>21</v>
      </c>
      <c r="E35" s="188" t="s">
        <v>441</v>
      </c>
      <c r="F35" s="226">
        <v>1.5</v>
      </c>
      <c r="G35" s="296" t="str">
        <f ca="1">IF(L35="b","",IF(L35="l",0,FIXED(F35,K35,0)&amp;M35))</f>
        <v xml:space="preserve">1.5  </v>
      </c>
      <c r="H35" s="187" t="s">
        <v>311</v>
      </c>
      <c r="I35" s="189" t="s">
        <v>387</v>
      </c>
      <c r="K35" s="215">
        <v>1</v>
      </c>
      <c r="L35" t="str">
        <f t="shared" ca="1" si="9"/>
        <v>v</v>
      </c>
      <c r="M35" t="str">
        <f>REPT(" ",3-K35)&amp;IF(K35=0," ","")</f>
        <v xml:space="preserve">  </v>
      </c>
      <c r="O35" s="194"/>
      <c r="P35" s="256" t="str">
        <f>IF(ISNUMBER(D35),LOOKUP(D35,$AB$5:$AC$7),D35)</f>
        <v xml:space="preserve">可とう電線管 </v>
      </c>
      <c r="Q35" s="208" t="str">
        <f t="shared" ref="Q35:Q41" si="10">E35</f>
        <v>PF-S (16)</v>
      </c>
      <c r="R35" s="301" t="str">
        <f t="shared" ca="1" si="8"/>
        <v xml:space="preserve">1.5  </v>
      </c>
      <c r="S35" s="305" t="str">
        <f>H35</f>
        <v>ｍ</v>
      </c>
      <c r="T35" s="150">
        <v>52</v>
      </c>
      <c r="U35" s="216">
        <f ca="1">IF(L35="l","",IF(D35+F35&gt;0,SUM(Z35:AA35),-1))</f>
        <v>78</v>
      </c>
      <c r="V35" s="395">
        <v>25</v>
      </c>
      <c r="W35" s="107"/>
      <c r="Z35" s="114">
        <f>IF(D35&gt;0,0,TRUNC(F35*T35+Y35*X35))</f>
        <v>78</v>
      </c>
      <c r="AA35" t="b">
        <f>IF($D35=1,SUM(Z$13:Z33)-SUM(AA$13:AA33),IF($D35=2,$AA$6,IF($D35=3,TRUNC($AA$6,-3))))</f>
        <v>0</v>
      </c>
      <c r="AB35">
        <f ca="1">IF(OR(AC$8=0,L34="l",D35&gt;0,U35=-1),0,IF(L34="b",-U35,TRUNC(F34*T35)))</f>
        <v>0</v>
      </c>
      <c r="AC35" t="b">
        <f>IF($D35=1,SUM(AB$13:AB33)-SUM(AC$13:AC33),IF($D35=2,$AA$5,IF($D35=3,TRUNC($AA$5,-3))))</f>
        <v>0</v>
      </c>
    </row>
    <row r="36" spans="3:29" ht="15" customHeight="1" x14ac:dyDescent="0.15">
      <c r="C36" s="182"/>
      <c r="D36" s="210"/>
      <c r="E36" s="184"/>
      <c r="F36" s="227"/>
      <c r="G36" s="297" t="str">
        <f ca="1">IF(OR(AC$8=0,L36="b"),"",IF(L36="l",0,"("&amp;FIXED(-F36,K37,0)&amp;M36))</f>
        <v/>
      </c>
      <c r="H36" s="183"/>
      <c r="I36" s="185"/>
      <c r="L36" t="str">
        <f ca="1">CELL("type",F36)</f>
        <v>b</v>
      </c>
      <c r="M36" t="str">
        <f>")"&amp;REPT(" ",2-K37)&amp;IF(K37=0," ","")</f>
        <v xml:space="preserve">) </v>
      </c>
      <c r="O36" s="194" t="s">
        <v>438</v>
      </c>
      <c r="P36" s="207">
        <f>D36</f>
        <v>0</v>
      </c>
      <c r="Q36" s="207">
        <f>E36</f>
        <v>0</v>
      </c>
      <c r="R36" s="300" t="str">
        <f ca="1">G36</f>
        <v/>
      </c>
      <c r="S36" s="304"/>
      <c r="T36" s="149"/>
      <c r="U36" s="206">
        <f ca="1">IF(OR(AC$8=0,SUM(Z37:AC37)=0),1,IF(L36="l","",SUM(AB37:AC37)))</f>
        <v>1</v>
      </c>
      <c r="V36" s="394"/>
      <c r="W36" s="50"/>
      <c r="Z36"/>
    </row>
    <row r="37" spans="3:29" ht="15" customHeight="1" x14ac:dyDescent="0.15">
      <c r="C37" s="186"/>
      <c r="D37" s="205" t="s">
        <v>22</v>
      </c>
      <c r="E37" s="188" t="s">
        <v>388</v>
      </c>
      <c r="F37" s="226">
        <v>2.2000000000000002</v>
      </c>
      <c r="G37" s="296" t="str">
        <f ca="1">IF(L37="b","",IF(L37="l",0,FIXED(F37,K37,0)&amp;M37))</f>
        <v xml:space="preserve">2.2  </v>
      </c>
      <c r="H37" s="187" t="s">
        <v>311</v>
      </c>
      <c r="I37" s="189" t="s">
        <v>390</v>
      </c>
      <c r="K37" s="215">
        <v>1</v>
      </c>
      <c r="L37" t="str">
        <f ca="1">CELL("type",F37)</f>
        <v>v</v>
      </c>
      <c r="M37" t="str">
        <f>REPT(" ",3-K37)&amp;IF(K37=0," ","")</f>
        <v xml:space="preserve">  </v>
      </c>
      <c r="O37" s="194" t="s">
        <v>18</v>
      </c>
      <c r="P37" s="208" t="str">
        <f>IF(ISNUMBER(D37),LOOKUP(D37,$AB$5:$AC$7),D37)</f>
        <v>〃</v>
      </c>
      <c r="Q37" s="208" t="str">
        <f>E37</f>
        <v>PF-S (22)</v>
      </c>
      <c r="R37" s="301" t="str">
        <f ca="1">G37</f>
        <v xml:space="preserve">2.2  </v>
      </c>
      <c r="S37" s="305" t="str">
        <f>H37</f>
        <v>ｍ</v>
      </c>
      <c r="T37" s="150">
        <v>73</v>
      </c>
      <c r="U37" s="216">
        <f ca="1">IF(L37="l","",IF(D37+F37&gt;0,SUM(Z37:AA37),-1))</f>
        <v>160</v>
      </c>
      <c r="V37" s="395">
        <v>26</v>
      </c>
      <c r="W37" s="107"/>
      <c r="Z37" s="114">
        <f>IF(D37&gt;0,0,TRUNC(F37*T37+Y37*X37))</f>
        <v>160</v>
      </c>
      <c r="AA37" t="b">
        <f>IF($D37=1,SUM(Z$13:Z35)-SUM(AA$13:AA35),IF($D37=2,$AA$6,IF($D37=3,TRUNC($AA$6,-3))))</f>
        <v>0</v>
      </c>
      <c r="AB37">
        <f ca="1">IF(OR(AC$8=0,L36="l",D37&gt;0,U37=-1),0,IF(L36="b",-U37,TRUNC(F36*T37)))</f>
        <v>0</v>
      </c>
      <c r="AC37" t="b">
        <f>IF($D37=1,SUM(AB$13:AB35)-SUM(AC$13:AC35),IF($D37=2,$AA$5,IF($D37=3,TRUNC($AA$5,-3))))</f>
        <v>0</v>
      </c>
    </row>
    <row r="38" spans="3:29" ht="15" customHeight="1" x14ac:dyDescent="0.15">
      <c r="C38" s="182"/>
      <c r="D38" s="210"/>
      <c r="E38" s="184"/>
      <c r="F38" s="227"/>
      <c r="G38" s="297" t="str">
        <f ca="1">IF(OR(AC$8=0,L38="b"),"",IF(L38="l",0,"("&amp;FIXED(-F38,K39,0)&amp;M38))</f>
        <v/>
      </c>
      <c r="H38" s="183"/>
      <c r="I38" s="185"/>
      <c r="L38" t="str">
        <f ca="1">CELL("type",F38)</f>
        <v>b</v>
      </c>
      <c r="M38" t="str">
        <f>")"&amp;REPT(" ",2-K39)&amp;IF(K39=0," ","")</f>
        <v xml:space="preserve">)   </v>
      </c>
      <c r="O38" s="194" t="s">
        <v>439</v>
      </c>
      <c r="P38" s="207">
        <f>D38</f>
        <v>0</v>
      </c>
      <c r="Q38" s="207">
        <f>E38</f>
        <v>0</v>
      </c>
      <c r="R38" s="300" t="str">
        <f ca="1">G38</f>
        <v/>
      </c>
      <c r="S38" s="304"/>
      <c r="T38" s="144"/>
      <c r="U38" s="206">
        <f ca="1">IF(OR(AC$8=0,SUM(Z39:AC39)=0),1,IF(L38="l","",SUM(AB39:AC39)))</f>
        <v>1</v>
      </c>
      <c r="V38" s="385"/>
      <c r="W38" s="50" t="str">
        <f ca="1">IF(OR(AC$8=0,SUM(Z39:AC39)=0),"",CONCATENATE("(",FIXED(-#REF!,0),")"))</f>
        <v/>
      </c>
      <c r="Y38">
        <f ca="1">SUM(AB35:AB37)</f>
        <v>0</v>
      </c>
      <c r="Z38"/>
    </row>
    <row r="39" spans="3:29" ht="15" customHeight="1" x14ac:dyDescent="0.15">
      <c r="C39" s="186"/>
      <c r="D39" s="205" t="s">
        <v>233</v>
      </c>
      <c r="E39" s="188" t="s">
        <v>14</v>
      </c>
      <c r="F39" s="226">
        <v>1</v>
      </c>
      <c r="G39" s="296" t="str">
        <f ca="1">IF(L39="b","",IF(L39="l",0,FIXED(F39,K39,0)&amp;M39))</f>
        <v xml:space="preserve">1    </v>
      </c>
      <c r="H39" s="187" t="s">
        <v>99</v>
      </c>
      <c r="I39" s="189" t="s">
        <v>421</v>
      </c>
      <c r="K39" s="215"/>
      <c r="L39" t="str">
        <f ca="1">CELL("type",F39)</f>
        <v>v</v>
      </c>
      <c r="M39" t="str">
        <f>REPT(" ",3-K39)&amp;IF(K39=0," ","")</f>
        <v xml:space="preserve">    </v>
      </c>
      <c r="O39" s="194" t="s">
        <v>440</v>
      </c>
      <c r="P39" s="208" t="str">
        <f>IF(ISNUMBER(D39),LOOKUP(D39,$AB$5:$AC$7),D39)</f>
        <v>付  属  材  料</v>
      </c>
      <c r="Q39" s="208" t="str">
        <f>E39</f>
        <v>上記材料費の 30％</v>
      </c>
      <c r="R39" s="301" t="str">
        <f ca="1">G39</f>
        <v xml:space="preserve">1    </v>
      </c>
      <c r="S39" s="305" t="str">
        <f>H39</f>
        <v>式</v>
      </c>
      <c r="T39" s="145"/>
      <c r="U39" s="216">
        <f ca="1">IF(L39="l","",IF(D39+F39&gt;0,SUM(Z39:AA39),-1))</f>
        <v>71</v>
      </c>
      <c r="V39" s="386"/>
      <c r="W39" s="107" t="str">
        <f>TEXT(Y39," #,0×")&amp;TEXT(X39,"0.00＝")</f>
        <v xml:space="preserve"> 238×0.30＝</v>
      </c>
      <c r="X39">
        <f>VALUE(RIGHT(E39,4))</f>
        <v>0.3</v>
      </c>
      <c r="Y39" s="114">
        <f>SUM(Z35:Z37)</f>
        <v>238</v>
      </c>
      <c r="Z39" s="114">
        <f>IF(D39&gt;0,0,TRUNC(F39*T39+Y39*X39))</f>
        <v>71</v>
      </c>
      <c r="AA39" t="b">
        <f>IF($D39=1,SUM(Z$13:Z37)-SUM(AA$13:AA37),IF($D39=2,$AA$6,IF($D39=3,TRUNC($AA$6,-3))))</f>
        <v>0</v>
      </c>
      <c r="AB39">
        <f ca="1">IF(OR(AC$8=0,L38="l",D39&gt;0,U39=-1),0,IF(L38="b",-U39,TRUNC(F38*T39)))</f>
        <v>0</v>
      </c>
      <c r="AC39" t="b">
        <f>IF($D39=1,SUM(AB$13:AB37)-SUM(AC$13:AC37),IF($D39=2,$AA$5,IF($D39=3,TRUNC($AA$5,-3))))</f>
        <v>0</v>
      </c>
    </row>
    <row r="40" spans="3:29" ht="15" customHeight="1" x14ac:dyDescent="0.15">
      <c r="C40" s="182"/>
      <c r="D40" s="210"/>
      <c r="E40" s="184"/>
      <c r="F40" s="227"/>
      <c r="G40" s="297" t="str">
        <f ca="1">IF(OR(AC$8=0,L40="b"),"",IF(L40="l",0,"("&amp;FIXED(-F40,K41,0)&amp;M40))</f>
        <v/>
      </c>
      <c r="H40" s="183"/>
      <c r="I40" s="185"/>
      <c r="L40" t="str">
        <f t="shared" ca="1" si="9"/>
        <v>b</v>
      </c>
      <c r="M40" t="str">
        <f>")"&amp;REPT(" ",2-K41)&amp;IF(K41=0," ","")</f>
        <v xml:space="preserve">)   </v>
      </c>
      <c r="O40" s="194" t="s">
        <v>30</v>
      </c>
      <c r="P40" s="207">
        <f>D40</f>
        <v>0</v>
      </c>
      <c r="Q40" s="207">
        <f t="shared" si="10"/>
        <v>0</v>
      </c>
      <c r="R40" s="300" t="str">
        <f t="shared" ca="1" si="8"/>
        <v/>
      </c>
      <c r="S40" s="304"/>
      <c r="T40" s="149"/>
      <c r="U40" s="206">
        <f ca="1">IF(OR(AC$8=0,SUM(Z41:AC41)=0),1,IF(L40="l","",SUM(AB41:AC41)))</f>
        <v>1</v>
      </c>
      <c r="V40" s="394"/>
      <c r="W40" s="50"/>
      <c r="Z40"/>
    </row>
    <row r="41" spans="3:29" ht="15" customHeight="1" x14ac:dyDescent="0.15">
      <c r="C41" s="186"/>
      <c r="D41" s="205"/>
      <c r="E41" s="188"/>
      <c r="F41" s="226"/>
      <c r="G41" s="296" t="str">
        <f ca="1">IF(L41="b","",IF(L41="l",0,FIXED(F41,K41,0)&amp;M41))</f>
        <v/>
      </c>
      <c r="H41" s="187"/>
      <c r="I41" s="189"/>
      <c r="K41" s="215"/>
      <c r="L41" t="str">
        <f t="shared" ca="1" si="9"/>
        <v>b</v>
      </c>
      <c r="M41" t="str">
        <f>REPT(" ",3-K41)&amp;IF(K41=0," ","")</f>
        <v xml:space="preserve">    </v>
      </c>
      <c r="O41" s="194" t="s">
        <v>31</v>
      </c>
      <c r="P41" s="208">
        <f>IF(ISNUMBER(D41),LOOKUP(D41,$AB$5:$AC$7),D41)</f>
        <v>0</v>
      </c>
      <c r="Q41" s="208">
        <f t="shared" si="10"/>
        <v>0</v>
      </c>
      <c r="R41" s="301" t="str">
        <f t="shared" ca="1" si="8"/>
        <v/>
      </c>
      <c r="S41" s="305">
        <f>H41</f>
        <v>0</v>
      </c>
      <c r="T41" s="150"/>
      <c r="U41" s="216">
        <f ca="1">IF(L41="l","",IF(D41+F41&gt;0,SUM(Z41:AA41),-1))</f>
        <v>-1</v>
      </c>
      <c r="V41" s="404"/>
      <c r="W41" s="107"/>
      <c r="Z41" s="114">
        <f>IF(D41&gt;0,0,TRUNC(F41*T41+Y41*X41))</f>
        <v>0</v>
      </c>
      <c r="AA41" t="b">
        <f>IF($D41=1,SUM(Z$13:Z39)-SUM(AA$13:AA39),IF($D41=2,$AA$6,IF($D41=3,TRUNC($AA$6,-3))))</f>
        <v>0</v>
      </c>
      <c r="AB41">
        <f ca="1">IF(OR(AC$8=0,L40="l",D41&gt;0,U41=-1),0,IF(L40="b",-U41,TRUNC(F40*T41)))</f>
        <v>0</v>
      </c>
      <c r="AC41" t="b">
        <f>IF($D41=1,SUM(AB$13:AB39)-SUM(AC$13:AC39),IF($D41=2,$AA$5,IF($D41=3,TRUNC($AA$5,-3))))</f>
        <v>0</v>
      </c>
    </row>
    <row r="42" spans="3:29" ht="15" customHeight="1" x14ac:dyDescent="0.15">
      <c r="C42" s="182"/>
      <c r="D42" s="210"/>
      <c r="E42" s="184"/>
      <c r="F42" s="227"/>
      <c r="G42" s="297" t="str">
        <f ca="1">IF(OR(AC$8=0,L42="b"),"",IF(L42="l",0,"("&amp;FIXED(-F42,K43,0)&amp;M42))</f>
        <v/>
      </c>
      <c r="H42" s="183"/>
      <c r="I42" s="185"/>
      <c r="L42" t="str">
        <f ca="1">CELL("type",F42)</f>
        <v>b</v>
      </c>
      <c r="M42" t="str">
        <f>")"&amp;REPT(" ",2-K43)&amp;IF(K43=0," ","")</f>
        <v xml:space="preserve">)   </v>
      </c>
      <c r="O42" s="194"/>
      <c r="P42" s="207">
        <f>D42</f>
        <v>0</v>
      </c>
      <c r="Q42" s="207">
        <f>E42</f>
        <v>0</v>
      </c>
      <c r="R42" s="300" t="str">
        <f ca="1">G42</f>
        <v/>
      </c>
      <c r="S42" s="304"/>
      <c r="T42" s="144"/>
      <c r="U42" s="206">
        <f ca="1">IF(OR(AC$8=0,SUM(Z43:AC43)=0),1,IF(L42="l","",SUM(AB43:AC43)))</f>
        <v>1</v>
      </c>
      <c r="V42" s="385"/>
      <c r="W42" s="50"/>
      <c r="Z42"/>
    </row>
    <row r="43" spans="3:29" ht="15" customHeight="1" x14ac:dyDescent="0.15">
      <c r="C43" s="186"/>
      <c r="D43" s="205"/>
      <c r="E43" s="188"/>
      <c r="F43" s="226"/>
      <c r="G43" s="296" t="str">
        <f ca="1">IF(L43="b","",IF(L43="l",0,FIXED(F43,K43,0)&amp;M43))</f>
        <v/>
      </c>
      <c r="H43" s="187"/>
      <c r="I43" s="189"/>
      <c r="K43" s="215"/>
      <c r="L43" t="str">
        <f ca="1">CELL("type",F43)</f>
        <v>b</v>
      </c>
      <c r="M43" t="str">
        <f>REPT(" ",3-K43)&amp;IF(K43=0," ","")</f>
        <v xml:space="preserve">    </v>
      </c>
      <c r="O43" s="194"/>
      <c r="P43" s="208">
        <f>IF(ISNUMBER(D43),LOOKUP(D43,$AB$5:$AC$7),D43)</f>
        <v>0</v>
      </c>
      <c r="Q43" s="208">
        <f>E43</f>
        <v>0</v>
      </c>
      <c r="R43" s="301" t="str">
        <f ca="1">G43</f>
        <v/>
      </c>
      <c r="S43" s="305">
        <f>H43</f>
        <v>0</v>
      </c>
      <c r="T43" s="145"/>
      <c r="U43" s="216">
        <f ca="1">IF(L43="l","",IF(D43+F43&gt;0,SUM(Z43:AA43),-1))</f>
        <v>-1</v>
      </c>
      <c r="V43" s="386"/>
      <c r="W43" s="107"/>
      <c r="Y43" s="114"/>
      <c r="Z43" s="114">
        <f>IF(D43&gt;0,0,TRUNC(F43*T43+Y43*X43))</f>
        <v>0</v>
      </c>
      <c r="AA43" t="b">
        <f>IF($D43=1,SUM(Z$13:Z41)-SUM(AA$13:AA41),IF($D43=2,$AA$6,IF($D43=3,TRUNC($AA$6,-3))))</f>
        <v>0</v>
      </c>
      <c r="AB43">
        <f ca="1">IF(OR(AC$8=0,L42="l",D43&gt;0,U43=-1),0,IF(L42="b",-U43,TRUNC(F42*T43)))</f>
        <v>0</v>
      </c>
      <c r="AC43" t="b">
        <f>IF($D43=1,SUM(AB$13:AB41)-SUM(AC$13:AC41),IF($D43=2,$AA$5,IF($D43=3,TRUNC($AA$5,-3))))</f>
        <v>0</v>
      </c>
    </row>
    <row r="44" spans="3:29" ht="15" customHeight="1" x14ac:dyDescent="0.15">
      <c r="C44" s="182"/>
      <c r="D44" s="210"/>
      <c r="E44" s="184"/>
      <c r="F44" s="227"/>
      <c r="G44" s="297" t="str">
        <f ca="1">IF(OR(AC$8=0,L44="b"),"",IF(L44="l",0,"("&amp;FIXED(-F44,K45,0)&amp;M44))</f>
        <v/>
      </c>
      <c r="H44" s="183"/>
      <c r="I44" s="185"/>
      <c r="L44" t="str">
        <f t="shared" ref="L44:L73" ca="1" si="11">CELL("type",F44)</f>
        <v>b</v>
      </c>
      <c r="M44" t="str">
        <f>")"&amp;REPT(" ",2-K45)&amp;IF(K45=0," ","")</f>
        <v xml:space="preserve">)   </v>
      </c>
      <c r="O44" s="194"/>
      <c r="P44" s="255">
        <f>D44</f>
        <v>0</v>
      </c>
      <c r="Q44" s="207">
        <f t="shared" ref="Q44:Q73" si="12">E44</f>
        <v>0</v>
      </c>
      <c r="R44" s="300" t="str">
        <f t="shared" ref="R44:R73" ca="1" si="13">G44</f>
        <v/>
      </c>
      <c r="S44" s="304"/>
      <c r="T44" s="149"/>
      <c r="U44" s="206">
        <f ca="1">IF(OR(AC$8=0,SUM(Z45:AC45)=0),1,IF(L44="l","",SUM(AB45:AC45)))</f>
        <v>1</v>
      </c>
      <c r="V44" s="385"/>
      <c r="W44" s="50"/>
      <c r="Z44"/>
    </row>
    <row r="45" spans="3:29" ht="15" customHeight="1" x14ac:dyDescent="0.15">
      <c r="C45" s="186"/>
      <c r="D45" s="205">
        <v>1</v>
      </c>
      <c r="E45" s="188"/>
      <c r="F45" s="226"/>
      <c r="G45" s="296" t="str">
        <f ca="1">IF(L45="b","",IF(L45="l",0,FIXED(F45,K45,0)&amp;M45))</f>
        <v/>
      </c>
      <c r="H45" s="187"/>
      <c r="I45" s="189"/>
      <c r="K45" s="215"/>
      <c r="L45" t="str">
        <f t="shared" ca="1" si="11"/>
        <v>b</v>
      </c>
      <c r="M45" t="str">
        <f>REPT(" ",3-K45)&amp;IF(K45=0," ","")</f>
        <v xml:space="preserve">    </v>
      </c>
      <c r="O45" s="194"/>
      <c r="P45" s="208" t="str">
        <f>IF(ISNUMBER(D45),LOOKUP(D45,$AB$5:$AC$7),D45)</f>
        <v>小    　計</v>
      </c>
      <c r="Q45" s="208">
        <f t="shared" si="12"/>
        <v>0</v>
      </c>
      <c r="R45" s="301" t="str">
        <f t="shared" ca="1" si="13"/>
        <v/>
      </c>
      <c r="S45" s="305">
        <f>H45</f>
        <v>0</v>
      </c>
      <c r="T45" s="150"/>
      <c r="U45" s="216">
        <f ca="1">IF(L45="l","",IF(D45+F45&gt;0,SUM(Z45:AA45),-1))</f>
        <v>309</v>
      </c>
      <c r="V45" s="386"/>
      <c r="W45" s="107"/>
      <c r="Z45" s="114">
        <f>IF(D45&gt;0,0,TRUNC(F45*T45+Y45*X45))</f>
        <v>0</v>
      </c>
      <c r="AA45">
        <f>IF($D45=1,SUM(Z$13:Z43)-SUM(AA$13:AA43),IF($D45=2,$AA$6,IF($D45=3,TRUNC($AA$6,-3))))</f>
        <v>309</v>
      </c>
      <c r="AB45">
        <f ca="1">IF(OR(AC$8=0,L44="l",D45&gt;0,U45=-1),0,IF(L44="b",-U45,TRUNC(F44*T45)))</f>
        <v>0</v>
      </c>
      <c r="AC45">
        <f ca="1">IF($D45=1,SUM(AB$13:AB43)-SUM(AC$13:AC43),IF($D45=2,$AA$5,IF($D45=3,TRUNC($AA$5,-3))))</f>
        <v>0</v>
      </c>
    </row>
    <row r="46" spans="3:29" ht="15" customHeight="1" x14ac:dyDescent="0.15">
      <c r="C46" s="182"/>
      <c r="D46" s="214" t="s">
        <v>442</v>
      </c>
      <c r="E46" s="184"/>
      <c r="F46" s="227"/>
      <c r="G46" s="297" t="str">
        <f ca="1">IF(OR(AC$8=0,L46="b"),"",IF(L46="l",0,"("&amp;FIXED(-F46,K47,0)&amp;M46))</f>
        <v/>
      </c>
      <c r="H46" s="183"/>
      <c r="I46" s="185"/>
      <c r="L46" t="str">
        <f t="shared" ca="1" si="11"/>
        <v>b</v>
      </c>
      <c r="M46" t="str">
        <f>")"&amp;REPT(" ",2-K47)&amp;IF(K47=0," ","")</f>
        <v xml:space="preserve">) </v>
      </c>
      <c r="O46" s="194"/>
      <c r="P46" s="207" t="str">
        <f>D46</f>
        <v>　合成樹脂製</v>
      </c>
      <c r="Q46" s="207">
        <f t="shared" si="12"/>
        <v>0</v>
      </c>
      <c r="R46" s="300" t="str">
        <f t="shared" ca="1" si="13"/>
        <v/>
      </c>
      <c r="S46" s="304"/>
      <c r="T46" s="149"/>
      <c r="U46" s="206">
        <f ca="1">IF(OR(AC$8=0,SUM(Z47:AC47)=0),1,IF(L46="l","",SUM(AB47:AC47)))</f>
        <v>1</v>
      </c>
      <c r="V46" s="394"/>
      <c r="W46" s="50"/>
      <c r="Z46"/>
    </row>
    <row r="47" spans="3:29" ht="15" customHeight="1" x14ac:dyDescent="0.15">
      <c r="C47" s="186" t="s">
        <v>443</v>
      </c>
      <c r="D47" s="213" t="s">
        <v>393</v>
      </c>
      <c r="E47" s="188" t="s">
        <v>441</v>
      </c>
      <c r="F47" s="226">
        <v>34.200000000000003</v>
      </c>
      <c r="G47" s="296" t="str">
        <f ca="1">IF(L47="b","",IF(L47="l",0,FIXED(F47,K47,0)&amp;M47))</f>
        <v xml:space="preserve">34.2  </v>
      </c>
      <c r="H47" s="187" t="s">
        <v>24</v>
      </c>
      <c r="I47" s="189" t="s">
        <v>387</v>
      </c>
      <c r="K47" s="215">
        <v>1</v>
      </c>
      <c r="L47" t="str">
        <f t="shared" ca="1" si="11"/>
        <v>v</v>
      </c>
      <c r="M47" t="str">
        <f>REPT(" ",3-K47)&amp;IF(K47=0," ","")</f>
        <v xml:space="preserve">  </v>
      </c>
      <c r="O47" s="194"/>
      <c r="P47" s="208" t="str">
        <f>IF(ISNUMBER(D47),LOOKUP(D47,$AB$5:$AC$7),D47)</f>
        <v>可とう電線管　</v>
      </c>
      <c r="Q47" s="208" t="str">
        <f t="shared" si="12"/>
        <v>PF-S (16)</v>
      </c>
      <c r="R47" s="301" t="str">
        <f t="shared" ca="1" si="13"/>
        <v xml:space="preserve">34.2  </v>
      </c>
      <c r="S47" s="305" t="str">
        <f>H47</f>
        <v>ｍ</v>
      </c>
      <c r="T47" s="150">
        <v>52</v>
      </c>
      <c r="U47" s="216">
        <f ca="1">IF(L47="l","",IF(D47+F47&gt;0,SUM(Z47:AA47),-1))</f>
        <v>1778</v>
      </c>
      <c r="V47" s="395">
        <v>25</v>
      </c>
      <c r="W47" s="107"/>
      <c r="Z47" s="114">
        <f>IF(D47&gt;0,0,TRUNC(F47*T47+Y47*X47))</f>
        <v>1778</v>
      </c>
      <c r="AA47" t="b">
        <f>IF($D47=1,SUM(Z$13:Z45)-SUM(AA$13:AA45),IF($D47=2,$AA$6,IF($D47=3,TRUNC($AA$6,-3))))</f>
        <v>0</v>
      </c>
      <c r="AB47">
        <f ca="1">IF(OR(AC$8=0,L46="l",D47&gt;0,U47=-1),0,IF(L46="b",-U47,TRUNC(F46*T47)))</f>
        <v>0</v>
      </c>
      <c r="AC47" t="b">
        <f>IF($D47=1,SUM(AB$13:AB45)-SUM(AC$13:AC45),IF($D47=2,$AA$5,IF($D47=3,TRUNC($AA$5,-3))))</f>
        <v>0</v>
      </c>
    </row>
    <row r="48" spans="3:29" ht="15" customHeight="1" x14ac:dyDescent="0.15">
      <c r="C48" s="182"/>
      <c r="D48" s="210"/>
      <c r="E48" s="184"/>
      <c r="F48" s="227"/>
      <c r="G48" s="297" t="str">
        <f ca="1">IF(OR(AC$8=0,L48="b"),"",IF(L48="l",0,"("&amp;FIXED(-F48,K49,0)&amp;M48))</f>
        <v/>
      </c>
      <c r="H48" s="183"/>
      <c r="I48" s="185"/>
      <c r="L48" t="str">
        <f t="shared" ca="1" si="11"/>
        <v>b</v>
      </c>
      <c r="M48" t="str">
        <f>")"&amp;REPT(" ",2-K49)&amp;IF(K49=0," ","")</f>
        <v xml:space="preserve">)   </v>
      </c>
      <c r="O48" s="194" t="s">
        <v>15</v>
      </c>
      <c r="P48" s="207">
        <f>D48</f>
        <v>0</v>
      </c>
      <c r="Q48" s="207">
        <f t="shared" si="12"/>
        <v>0</v>
      </c>
      <c r="R48" s="300" t="str">
        <f t="shared" ca="1" si="13"/>
        <v/>
      </c>
      <c r="S48" s="304"/>
      <c r="T48" s="144"/>
      <c r="U48" s="206">
        <f ca="1">IF(OR(AC$8=0,SUM(Z49:AC49)=0),1,IF(L48="l","",SUM(AB49:AC49)))</f>
        <v>1</v>
      </c>
      <c r="V48" s="385"/>
      <c r="W48" s="50" t="str">
        <f ca="1">IF(OR(AC$8=0,SUM(Z49:AC49)=0),"",CONCATENATE("(",FIXED(-#REF!,0),")"))</f>
        <v/>
      </c>
      <c r="Y48">
        <f ca="1">SUM(AB47)</f>
        <v>0</v>
      </c>
      <c r="Z48"/>
    </row>
    <row r="49" spans="3:29" ht="15" customHeight="1" x14ac:dyDescent="0.15">
      <c r="C49" s="186"/>
      <c r="D49" s="205" t="s">
        <v>233</v>
      </c>
      <c r="E49" s="188" t="s">
        <v>14</v>
      </c>
      <c r="F49" s="226">
        <v>1</v>
      </c>
      <c r="G49" s="296" t="str">
        <f ca="1">IF(L49="b","",IF(L49="l",0,FIXED(F49,K49,0)&amp;M49))</f>
        <v xml:space="preserve">1    </v>
      </c>
      <c r="H49" s="187" t="s">
        <v>99</v>
      </c>
      <c r="I49" s="189" t="s">
        <v>421</v>
      </c>
      <c r="K49" s="215"/>
      <c r="L49" t="str">
        <f t="shared" ca="1" si="11"/>
        <v>v</v>
      </c>
      <c r="M49" t="str">
        <f>REPT(" ",3-K49)&amp;IF(K49=0," ","")</f>
        <v xml:space="preserve">    </v>
      </c>
      <c r="O49" s="194"/>
      <c r="P49" s="208" t="str">
        <f>IF(ISNUMBER(D49),LOOKUP(D49,$AB$5:$AC$7),D49)</f>
        <v>付  属  材  料</v>
      </c>
      <c r="Q49" s="208" t="str">
        <f t="shared" si="12"/>
        <v>上記材料費の 30％</v>
      </c>
      <c r="R49" s="301" t="str">
        <f t="shared" ca="1" si="13"/>
        <v xml:space="preserve">1    </v>
      </c>
      <c r="S49" s="305" t="str">
        <f>H49</f>
        <v>式</v>
      </c>
      <c r="T49" s="145"/>
      <c r="U49" s="216">
        <f ca="1">IF(L49="l","",IF(D49+F49&gt;0,SUM(Z49:AA49),-1))</f>
        <v>533</v>
      </c>
      <c r="V49" s="386"/>
      <c r="W49" s="107" t="str">
        <f>TEXT(Y49," #,0×")&amp;TEXT(X49,"0.00＝")</f>
        <v xml:space="preserve"> 1,778×0.30＝</v>
      </c>
      <c r="X49">
        <f>VALUE(RIGHT(E49,4))</f>
        <v>0.3</v>
      </c>
      <c r="Y49" s="114">
        <f>SUM(Z47)</f>
        <v>1778</v>
      </c>
      <c r="Z49" s="114">
        <f>IF(D49&gt;0,0,TRUNC(F49*T49+Y49*X49))</f>
        <v>533</v>
      </c>
      <c r="AA49" t="b">
        <f>IF($D49=1,SUM(Z$13:Z47)-SUM(AA$13:AA47),IF($D49=2,$AA$6,IF($D49=3,TRUNC($AA$6,-3))))</f>
        <v>0</v>
      </c>
      <c r="AB49">
        <f ca="1">IF(OR(AC$8=0,L48="l",D49&gt;0,U49=-1),0,IF(L48="b",-U49,TRUNC(F48*T49)))</f>
        <v>0</v>
      </c>
      <c r="AC49" t="b">
        <f>IF($D49=1,SUM(AB$13:AB47)-SUM(AC$13:AC47),IF($D49=2,$AA$5,IF($D49=3,TRUNC($AA$5,-3))))</f>
        <v>0</v>
      </c>
    </row>
    <row r="50" spans="3:29" ht="15" customHeight="1" x14ac:dyDescent="0.15">
      <c r="C50" s="182"/>
      <c r="D50" s="210"/>
      <c r="E50" s="184"/>
      <c r="F50" s="227"/>
      <c r="G50" s="297" t="str">
        <f ca="1">IF(OR(AC$8=0,L50="b"),"",IF(L50="l",0,"("&amp;FIXED(-F50,K51,0)&amp;M50))</f>
        <v/>
      </c>
      <c r="H50" s="183"/>
      <c r="I50" s="185"/>
      <c r="L50" t="str">
        <f t="shared" ca="1" si="11"/>
        <v>b</v>
      </c>
      <c r="M50" t="str">
        <f>")"&amp;REPT(" ",2-K51)&amp;IF(K51=0," ","")</f>
        <v xml:space="preserve">)   </v>
      </c>
      <c r="O50" s="194" t="s">
        <v>19</v>
      </c>
      <c r="P50" s="207">
        <f>D50</f>
        <v>0</v>
      </c>
      <c r="Q50" s="207">
        <f t="shared" si="12"/>
        <v>0</v>
      </c>
      <c r="R50" s="300" t="str">
        <f t="shared" ca="1" si="13"/>
        <v/>
      </c>
      <c r="S50" s="304"/>
      <c r="T50" s="149"/>
      <c r="U50" s="206">
        <f ca="1">IF(OR(AC$8=0,SUM(Z51:AC51)=0),1,IF(L50="l","",SUM(AB51:AC51)))</f>
        <v>1</v>
      </c>
      <c r="V50" s="394"/>
      <c r="W50" s="50"/>
      <c r="Z50"/>
    </row>
    <row r="51" spans="3:29" ht="15" customHeight="1" x14ac:dyDescent="0.15">
      <c r="C51" s="186"/>
      <c r="D51" s="205" t="s">
        <v>391</v>
      </c>
      <c r="E51" s="188" t="s">
        <v>436</v>
      </c>
      <c r="F51" s="226">
        <v>14</v>
      </c>
      <c r="G51" s="296" t="str">
        <f ca="1">IF(L51="b","",IF(L51="l",0,FIXED(F51,K51,0)&amp;M51))</f>
        <v xml:space="preserve">14    </v>
      </c>
      <c r="H51" s="187" t="s">
        <v>23</v>
      </c>
      <c r="I51" s="189"/>
      <c r="K51" s="215"/>
      <c r="L51" t="str">
        <f t="shared" ca="1" si="11"/>
        <v>v</v>
      </c>
      <c r="M51" t="str">
        <f>REPT(" ",3-K51)&amp;IF(K51=0," ","")</f>
        <v xml:space="preserve">    </v>
      </c>
      <c r="O51" s="194"/>
      <c r="P51" s="208" t="str">
        <f>IF(ISNUMBER(D51),LOOKUP(D51,$AB$5:$AC$7),D51)</f>
        <v>アウトレットボックス</v>
      </c>
      <c r="Q51" s="208" t="str">
        <f t="shared" si="12"/>
        <v>埋込四角中浅型</v>
      </c>
      <c r="R51" s="301" t="str">
        <f t="shared" ca="1" si="13"/>
        <v xml:space="preserve">14    </v>
      </c>
      <c r="S51" s="305" t="str">
        <f>H51</f>
        <v>個</v>
      </c>
      <c r="T51" s="150">
        <v>186</v>
      </c>
      <c r="U51" s="216">
        <f ca="1">IF(L51="l","",IF(D51+F51&gt;0,SUM(Z51:AA51),-1))</f>
        <v>2604</v>
      </c>
      <c r="V51" s="395">
        <v>209</v>
      </c>
      <c r="W51" s="107"/>
      <c r="Z51" s="114">
        <f>IF(D51&gt;0,0,TRUNC(F51*T51+Y51*X51))</f>
        <v>2604</v>
      </c>
      <c r="AA51" t="b">
        <f>IF($D51=1,SUM(Z$13:Z49)-SUM(AA$13:AA49),IF($D51=2,$AA$6,IF($D51=3,TRUNC($AA$6,-3))))</f>
        <v>0</v>
      </c>
      <c r="AB51">
        <f ca="1">IF(OR(AC$8=0,L50="l",D51&gt;0,U51=-1),0,IF(L50="b",-U51,TRUNC(F50*T51)))</f>
        <v>0</v>
      </c>
      <c r="AC51" t="b">
        <f>IF($D51=1,SUM(AB$13:AB49)-SUM(AC$13:AC49),IF($D51=2,$AA$5,IF($D51=3,TRUNC($AA$5,-3))))</f>
        <v>0</v>
      </c>
    </row>
    <row r="52" spans="3:29" ht="15" customHeight="1" x14ac:dyDescent="0.15">
      <c r="C52" s="182"/>
      <c r="D52" s="210"/>
      <c r="E52" s="184"/>
      <c r="F52" s="227"/>
      <c r="G52" s="297" t="str">
        <f ca="1">IF(OR(AC$8=0,L52="b"),"",IF(L52="l",0,"("&amp;FIXED(-F52,K53,0)&amp;M52))</f>
        <v/>
      </c>
      <c r="H52" s="183"/>
      <c r="I52" s="185"/>
      <c r="L52" t="str">
        <f t="shared" ca="1" si="11"/>
        <v>b</v>
      </c>
      <c r="M52" t="str">
        <f>")"&amp;REPT(" ",2-K53)&amp;IF(K53=0," ","")</f>
        <v xml:space="preserve">)   </v>
      </c>
      <c r="O52" s="194" t="s">
        <v>30</v>
      </c>
      <c r="P52" s="207">
        <f>D52</f>
        <v>0</v>
      </c>
      <c r="Q52" s="207">
        <f t="shared" si="12"/>
        <v>0</v>
      </c>
      <c r="R52" s="300" t="str">
        <f t="shared" ca="1" si="13"/>
        <v/>
      </c>
      <c r="S52" s="304"/>
      <c r="T52" s="149"/>
      <c r="U52" s="206">
        <f ca="1">IF(OR(AC$8=0,SUM(Z53:AC53)=0),1,IF(L52="l","",SUM(AB53:AC53)))</f>
        <v>1</v>
      </c>
      <c r="V52" s="394"/>
      <c r="W52" s="50"/>
      <c r="Z52"/>
    </row>
    <row r="53" spans="3:29" ht="15" customHeight="1" x14ac:dyDescent="0.15">
      <c r="C53" s="186"/>
      <c r="D53" s="205"/>
      <c r="E53" s="188"/>
      <c r="F53" s="226"/>
      <c r="G53" s="296" t="str">
        <f ca="1">IF(L53="b","",IF(L53="l",0,FIXED(F53,K53,0)&amp;M53))</f>
        <v/>
      </c>
      <c r="H53" s="187"/>
      <c r="I53" s="189"/>
      <c r="K53" s="215"/>
      <c r="L53" t="str">
        <f t="shared" ca="1" si="11"/>
        <v>b</v>
      </c>
      <c r="M53" t="str">
        <f>REPT(" ",3-K53)&amp;IF(K53=0," ","")</f>
        <v xml:space="preserve">    </v>
      </c>
      <c r="O53" s="194"/>
      <c r="P53" s="208">
        <f>IF(ISNUMBER(D53),LOOKUP(D53,$AB$5:$AC$7),D53)</f>
        <v>0</v>
      </c>
      <c r="Q53" s="208">
        <f t="shared" si="12"/>
        <v>0</v>
      </c>
      <c r="R53" s="301" t="str">
        <f t="shared" ca="1" si="13"/>
        <v/>
      </c>
      <c r="S53" s="305">
        <f>H53</f>
        <v>0</v>
      </c>
      <c r="T53" s="150"/>
      <c r="U53" s="216">
        <f ca="1">IF(L53="l","",IF(D53+F53&gt;0,SUM(Z53:AA53),-1))</f>
        <v>-1</v>
      </c>
      <c r="V53" s="395"/>
      <c r="W53" s="107"/>
      <c r="Z53" s="114">
        <f>IF(D53&gt;0,0,TRUNC(F53*T53+Y53*X53))</f>
        <v>0</v>
      </c>
      <c r="AA53" t="b">
        <f>IF($D53=1,SUM(Z$13:Z51)-SUM(AA$13:AA51),IF($D53=2,$AA$6,IF($D53=3,TRUNC($AA$6,-3))))</f>
        <v>0</v>
      </c>
      <c r="AB53">
        <f ca="1">IF(OR(AC$8=0,L52="l",D53&gt;0,U53=-1),0,IF(L52="b",-U53,TRUNC(F52*T53)))</f>
        <v>0</v>
      </c>
      <c r="AC53" t="b">
        <f>IF($D53=1,SUM(AB$13:AB51)-SUM(AC$13:AC51),IF($D53=2,$AA$5,IF($D53=3,TRUNC($AA$5,-3))))</f>
        <v>0</v>
      </c>
    </row>
    <row r="54" spans="3:29" ht="15" customHeight="1" x14ac:dyDescent="0.15">
      <c r="C54" s="182"/>
      <c r="D54" s="210"/>
      <c r="E54" s="184"/>
      <c r="F54" s="227"/>
      <c r="G54" s="297" t="str">
        <f ca="1">IF(OR(AC$8=0,L54="b"),"",IF(L54="l",0,"("&amp;FIXED(-F54,K55,0)&amp;M54))</f>
        <v/>
      </c>
      <c r="H54" s="183"/>
      <c r="I54" s="185"/>
      <c r="L54" t="str">
        <f t="shared" ca="1" si="11"/>
        <v>b</v>
      </c>
      <c r="M54" t="str">
        <f>")"&amp;REPT(" ",2-K55)&amp;IF(K55=0," ","")</f>
        <v xml:space="preserve">)   </v>
      </c>
      <c r="O54" s="194" t="s">
        <v>31</v>
      </c>
      <c r="P54" s="207">
        <f>D54</f>
        <v>0</v>
      </c>
      <c r="Q54" s="207">
        <f t="shared" si="12"/>
        <v>0</v>
      </c>
      <c r="R54" s="300" t="str">
        <f t="shared" ca="1" si="13"/>
        <v/>
      </c>
      <c r="S54" s="304"/>
      <c r="T54" s="149"/>
      <c r="U54" s="206">
        <f ca="1">IF(OR(AC$8=0,SUM(Z55:AC55)=0),1,IF(L54="l","",SUM(AB55:AC55)))</f>
        <v>1</v>
      </c>
      <c r="V54" s="394"/>
      <c r="W54" s="50"/>
      <c r="Z54"/>
    </row>
    <row r="55" spans="3:29" ht="15" customHeight="1" x14ac:dyDescent="0.15">
      <c r="C55" s="186"/>
      <c r="D55" s="205"/>
      <c r="E55" s="188"/>
      <c r="F55" s="226"/>
      <c r="G55" s="296" t="str">
        <f ca="1">IF(L55="b","",IF(L55="l",0,FIXED(F55,K55,0)&amp;M55))</f>
        <v/>
      </c>
      <c r="H55" s="187"/>
      <c r="I55" s="189"/>
      <c r="K55" s="215"/>
      <c r="L55" t="str">
        <f t="shared" ca="1" si="11"/>
        <v>b</v>
      </c>
      <c r="M55" t="str">
        <f>REPT(" ",3-K55)&amp;IF(K55=0," ","")</f>
        <v xml:space="preserve">    </v>
      </c>
      <c r="O55" s="194"/>
      <c r="P55" s="208">
        <f>IF(ISNUMBER(D55),LOOKUP(D55,$AB$5:$AC$7),D55)</f>
        <v>0</v>
      </c>
      <c r="Q55" s="208">
        <f t="shared" si="12"/>
        <v>0</v>
      </c>
      <c r="R55" s="301" t="str">
        <f t="shared" ca="1" si="13"/>
        <v/>
      </c>
      <c r="S55" s="305">
        <f>H55</f>
        <v>0</v>
      </c>
      <c r="T55" s="150"/>
      <c r="U55" s="216">
        <f ca="1">IF(L55="l","",IF(D55+F55&gt;0,SUM(Z55:AA55),-1))</f>
        <v>-1</v>
      </c>
      <c r="V55" s="395"/>
      <c r="W55" s="107"/>
      <c r="Z55" s="114">
        <f>IF(D55&gt;0,0,TRUNC(F55*T55+Y55*X55))</f>
        <v>0</v>
      </c>
      <c r="AA55" t="b">
        <f>IF($D55=1,SUM(Z$13:Z53)-SUM(AA$13:AA53),IF($D55=2,$AA$6,IF($D55=3,TRUNC($AA$6,-3))))</f>
        <v>0</v>
      </c>
      <c r="AB55">
        <f ca="1">IF(OR(AC$8=0,L54="l",D55&gt;0,U55=-1),0,IF(L54="b",-U55,TRUNC(F54*T55)))</f>
        <v>0</v>
      </c>
      <c r="AC55" t="b">
        <f>IF($D55=1,SUM(AB$13:AB53)-SUM(AC$13:AC53),IF($D55=2,$AA$5,IF($D55=3,TRUNC($AA$5,-3))))</f>
        <v>0</v>
      </c>
    </row>
    <row r="56" spans="3:29" ht="15" customHeight="1" x14ac:dyDescent="0.15">
      <c r="C56" s="182"/>
      <c r="D56" s="210"/>
      <c r="E56" s="184"/>
      <c r="F56" s="227"/>
      <c r="G56" s="297" t="str">
        <f ca="1">IF(OR(AC$8=0,L56="b"),"",IF(L56="l",0,"("&amp;FIXED(-F56,K57,0)&amp;M56))</f>
        <v/>
      </c>
      <c r="H56" s="183"/>
      <c r="I56" s="185"/>
      <c r="L56" t="str">
        <f t="shared" ca="1" si="11"/>
        <v>b</v>
      </c>
      <c r="M56" t="str">
        <f>")"&amp;REPT(" ",2-K57)&amp;IF(K57=0," ","")</f>
        <v xml:space="preserve">)   </v>
      </c>
      <c r="O56" s="194"/>
      <c r="P56" s="207">
        <f>D56</f>
        <v>0</v>
      </c>
      <c r="Q56" s="207">
        <f t="shared" si="12"/>
        <v>0</v>
      </c>
      <c r="R56" s="300" t="str">
        <f t="shared" ca="1" si="13"/>
        <v/>
      </c>
      <c r="S56" s="304"/>
      <c r="T56" s="149"/>
      <c r="U56" s="206">
        <f ca="1">IF(OR(AC$8=0,SUM(Z57:AC57)=0),1,IF(L56="l","",SUM(AB57:AC57)))</f>
        <v>1</v>
      </c>
      <c r="V56" s="394"/>
      <c r="W56" s="50"/>
      <c r="Z56"/>
    </row>
    <row r="57" spans="3:29" ht="15" customHeight="1" x14ac:dyDescent="0.15">
      <c r="C57" s="186"/>
      <c r="D57" s="205">
        <v>1</v>
      </c>
      <c r="E57" s="188"/>
      <c r="F57" s="226"/>
      <c r="G57" s="296" t="str">
        <f ca="1">IF(L57="b","",IF(L57="l",0,FIXED(F57,K57,0)&amp;M57))</f>
        <v/>
      </c>
      <c r="H57" s="187"/>
      <c r="I57" s="189"/>
      <c r="K57" s="215"/>
      <c r="L57" t="str">
        <f t="shared" ca="1" si="11"/>
        <v>b</v>
      </c>
      <c r="M57" t="str">
        <f>REPT(" ",3-K57)&amp;IF(K57=0," ","")</f>
        <v xml:space="preserve">    </v>
      </c>
      <c r="O57" s="194"/>
      <c r="P57" s="208" t="str">
        <f>IF(ISNUMBER(D57),LOOKUP(D57,$AB$5:$AC$7),D57)</f>
        <v>小    　計</v>
      </c>
      <c r="Q57" s="208">
        <f t="shared" si="12"/>
        <v>0</v>
      </c>
      <c r="R57" s="301" t="str">
        <f t="shared" ca="1" si="13"/>
        <v/>
      </c>
      <c r="S57" s="305">
        <f>H57</f>
        <v>0</v>
      </c>
      <c r="T57" s="150"/>
      <c r="U57" s="216">
        <f ca="1">IF(L57="l","",IF(D57+F57&gt;0,SUM(Z57:AA57),-1))</f>
        <v>4915</v>
      </c>
      <c r="V57" s="395"/>
      <c r="W57" s="107"/>
      <c r="Z57" s="114">
        <f>IF(D57&gt;0,0,TRUNC(F57*T57+Y57*X57))</f>
        <v>0</v>
      </c>
      <c r="AA57">
        <f>IF($D57=1,SUM(Z$13:Z55)-SUM(AA$13:AA55),IF($D57=2,$AA$6,IF($D57=3,TRUNC($AA$6,-3))))</f>
        <v>4915</v>
      </c>
      <c r="AB57">
        <f ca="1">IF(OR(AC$8=0,L56="l",D57&gt;0,U57=-1),0,IF(L56="b",-U57,TRUNC(F56*T57)))</f>
        <v>0</v>
      </c>
      <c r="AC57">
        <f ca="1">IF($D57=1,SUM(AB$13:AB55)-SUM(AC$13:AC55),IF($D57=2,$AA$5,IF($D57=3,TRUNC($AA$5,-3))))</f>
        <v>0</v>
      </c>
    </row>
    <row r="58" spans="3:29" ht="15" customHeight="1" x14ac:dyDescent="0.15">
      <c r="C58" s="182"/>
      <c r="D58" s="210"/>
      <c r="E58" s="184"/>
      <c r="F58" s="227"/>
      <c r="G58" s="297" t="str">
        <f ca="1">IF(OR(AC$8=0,L58="b"),"",IF(L58="l",0,"("&amp;FIXED(-F58,K59,0)&amp;M58))</f>
        <v/>
      </c>
      <c r="H58" s="183"/>
      <c r="I58" s="185"/>
      <c r="L58" t="str">
        <f t="shared" ca="1" si="11"/>
        <v>b</v>
      </c>
      <c r="M58" t="str">
        <f>")"&amp;REPT(" ",2-K59)&amp;IF(K59=0," ","")</f>
        <v xml:space="preserve">) </v>
      </c>
      <c r="O58" s="194"/>
      <c r="P58" s="207">
        <f>D58</f>
        <v>0</v>
      </c>
      <c r="Q58" s="207">
        <f t="shared" si="12"/>
        <v>0</v>
      </c>
      <c r="R58" s="300" t="str">
        <f t="shared" ca="1" si="13"/>
        <v/>
      </c>
      <c r="S58" s="304"/>
      <c r="T58" s="149"/>
      <c r="U58" s="206">
        <f ca="1">IF(OR(AC$8=0,SUM(Z59:AC59)=0),1,IF(L58="l","",SUM(AB59:AC59)))</f>
        <v>1</v>
      </c>
      <c r="V58" s="394"/>
      <c r="W58" s="50"/>
      <c r="Z58"/>
    </row>
    <row r="59" spans="3:29" ht="15" customHeight="1" x14ac:dyDescent="0.15">
      <c r="C59" s="186" t="s">
        <v>26</v>
      </c>
      <c r="D59" s="205" t="s">
        <v>27</v>
      </c>
      <c r="E59" s="188"/>
      <c r="F59" s="226">
        <v>4.2</v>
      </c>
      <c r="G59" s="296" t="str">
        <f ca="1">IF(L59="b","",IF(L59="l",0,FIXED(F59,K59,0)&amp;M59))</f>
        <v xml:space="preserve">4.2  </v>
      </c>
      <c r="H59" s="187" t="s">
        <v>28</v>
      </c>
      <c r="I59" s="189"/>
      <c r="K59" s="215">
        <v>1</v>
      </c>
      <c r="L59" t="str">
        <f t="shared" ca="1" si="11"/>
        <v>v</v>
      </c>
      <c r="M59" t="str">
        <f>REPT(" ",3-K59)&amp;IF(K59=0," ","")</f>
        <v xml:space="preserve">  </v>
      </c>
      <c r="O59" s="194" t="s">
        <v>15</v>
      </c>
      <c r="P59" s="208" t="str">
        <f>IF(ISNUMBER(D59),LOOKUP(D59,$AB$5:$AC$7),D59)</f>
        <v>電　　　　工</v>
      </c>
      <c r="Q59" s="208">
        <f t="shared" si="12"/>
        <v>0</v>
      </c>
      <c r="R59" s="301" t="str">
        <f t="shared" ca="1" si="13"/>
        <v xml:space="preserve">4.2  </v>
      </c>
      <c r="S59" s="305" t="str">
        <f>H59</f>
        <v>人</v>
      </c>
      <c r="T59" s="150">
        <v>16900</v>
      </c>
      <c r="U59" s="216">
        <f ca="1">IF(L59="l","",IF(D59+F59&gt;0,SUM(Z59:AA59),-1))</f>
        <v>70980</v>
      </c>
      <c r="V59" s="395" t="s">
        <v>404</v>
      </c>
      <c r="W59" s="107"/>
      <c r="Z59" s="114">
        <f>IF(D59&gt;0,0,TRUNC(F59*T59+Y59*X59))</f>
        <v>70980</v>
      </c>
      <c r="AA59" t="b">
        <f>IF($D59=1,SUM(Z$13:Z57)-SUM(AA$13:AA57),IF($D59=2,$AA$6,IF($D59=3,TRUNC($AA$6,-3))))</f>
        <v>0</v>
      </c>
      <c r="AB59">
        <f ca="1">IF(OR(AC$8=0,L58="l",D59&gt;0,U59=-1),0,IF(L58="b",-U59,TRUNC(F58*T59)))</f>
        <v>0</v>
      </c>
      <c r="AC59" t="b">
        <f>IF($D59=1,SUM(AB$13:AB57)-SUM(AC$13:AC57),IF($D59=2,$AA$5,IF($D59=3,TRUNC($AA$5,-3))))</f>
        <v>0</v>
      </c>
    </row>
    <row r="60" spans="3:29" ht="15" customHeight="1" x14ac:dyDescent="0.15">
      <c r="C60" s="182"/>
      <c r="D60" s="210"/>
      <c r="E60" s="184"/>
      <c r="F60" s="227"/>
      <c r="G60" s="297" t="str">
        <f ca="1">IF(OR(AC$8=0,L60="b"),"",IF(L60="l",0,"("&amp;FIXED(-F60,K61,0)&amp;M60))</f>
        <v/>
      </c>
      <c r="H60" s="183"/>
      <c r="I60" s="185"/>
      <c r="L60" t="str">
        <f t="shared" ca="1" si="11"/>
        <v>b</v>
      </c>
      <c r="M60" t="str">
        <f>")"&amp;REPT(" ",2-K61)&amp;IF(K61=0," ","")</f>
        <v xml:space="preserve">)   </v>
      </c>
      <c r="O60" s="194" t="s">
        <v>29</v>
      </c>
      <c r="P60" s="207">
        <f>D60</f>
        <v>0</v>
      </c>
      <c r="Q60" s="207">
        <f t="shared" si="12"/>
        <v>0</v>
      </c>
      <c r="R60" s="300" t="str">
        <f t="shared" ca="1" si="13"/>
        <v/>
      </c>
      <c r="S60" s="304"/>
      <c r="T60" s="149"/>
      <c r="U60" s="206">
        <f ca="1">IF(OR(AC$8=0,SUM(Z61:AC61)=0),1,IF(L60="l","",SUM(AB61:AC61)))</f>
        <v>1</v>
      </c>
      <c r="V60" s="394"/>
      <c r="W60" s="50"/>
      <c r="Z60"/>
    </row>
    <row r="61" spans="3:29" ht="15" customHeight="1" x14ac:dyDescent="0.15">
      <c r="C61" s="186"/>
      <c r="D61" s="205"/>
      <c r="E61" s="188"/>
      <c r="F61" s="226"/>
      <c r="G61" s="296" t="str">
        <f ca="1">IF(L61="b","",IF(L61="l",0,FIXED(F61,K61,0)&amp;M61))</f>
        <v/>
      </c>
      <c r="H61" s="187"/>
      <c r="I61" s="189"/>
      <c r="K61" s="215"/>
      <c r="L61" t="str">
        <f t="shared" ca="1" si="11"/>
        <v>b</v>
      </c>
      <c r="M61" t="str">
        <f>REPT(" ",3-K61)&amp;IF(K61=0," ","")</f>
        <v xml:space="preserve">    </v>
      </c>
      <c r="O61" s="194" t="s">
        <v>30</v>
      </c>
      <c r="P61" s="208">
        <f>IF(ISNUMBER(D61),LOOKUP(D61,$AB$5:$AC$7),D61)</f>
        <v>0</v>
      </c>
      <c r="Q61" s="208">
        <f t="shared" si="12"/>
        <v>0</v>
      </c>
      <c r="R61" s="301" t="str">
        <f t="shared" ca="1" si="13"/>
        <v/>
      </c>
      <c r="S61" s="305">
        <f>H61</f>
        <v>0</v>
      </c>
      <c r="T61" s="150"/>
      <c r="U61" s="216">
        <f ca="1">IF(L61="l","",IF(D61+F61&gt;0,SUM(Z61:AA61),-1))</f>
        <v>-1</v>
      </c>
      <c r="V61" s="395"/>
      <c r="W61" s="107"/>
      <c r="Z61" s="114">
        <f>IF(D61&gt;0,0,TRUNC(F61*T61+Y61*X61))</f>
        <v>0</v>
      </c>
      <c r="AA61" t="b">
        <f>IF($D61=1,SUM(Z$13:Z59)-SUM(AA$13:AA59),IF($D61=2,$AA$6,IF($D61=3,TRUNC($AA$6,-3))))</f>
        <v>0</v>
      </c>
      <c r="AB61">
        <f ca="1">IF(OR(AC$8=0,L60="l",D61&gt;0,U61=-1),0,IF(L60="b",-U61,TRUNC(F60*T61)))</f>
        <v>0</v>
      </c>
      <c r="AC61" t="b">
        <f>IF($D61=1,SUM(AB$13:AB59)-SUM(AC$13:AC59),IF($D61=2,$AA$5,IF($D61=3,TRUNC($AA$5,-3))))</f>
        <v>0</v>
      </c>
    </row>
    <row r="62" spans="3:29" ht="15" customHeight="1" x14ac:dyDescent="0.15">
      <c r="C62" s="182"/>
      <c r="D62" s="210"/>
      <c r="E62" s="184"/>
      <c r="F62" s="227"/>
      <c r="G62" s="297" t="str">
        <f ca="1">IF(OR(AC$8=0,L62="b"),"",IF(L62="l",0,"("&amp;FIXED(-F62,K63,0)&amp;M62))</f>
        <v/>
      </c>
      <c r="H62" s="183"/>
      <c r="I62" s="185"/>
      <c r="L62" t="str">
        <f t="shared" ca="1" si="11"/>
        <v>b</v>
      </c>
      <c r="M62" t="str">
        <f>")"&amp;REPT(" ",2-K63)&amp;IF(K63=0," ","")</f>
        <v xml:space="preserve">)   </v>
      </c>
      <c r="O62" s="194" t="s">
        <v>31</v>
      </c>
      <c r="P62" s="207">
        <f>D62</f>
        <v>0</v>
      </c>
      <c r="Q62" s="207">
        <f t="shared" si="12"/>
        <v>0</v>
      </c>
      <c r="R62" s="300" t="str">
        <f t="shared" ca="1" si="13"/>
        <v/>
      </c>
      <c r="S62" s="304"/>
      <c r="T62" s="149"/>
      <c r="U62" s="206">
        <f ca="1">IF(OR(AC$8=0,SUM(Z63:AC63)=0),1,IF(L62="l","",SUM(AB63:AC63)))</f>
        <v>1</v>
      </c>
      <c r="V62" s="394"/>
      <c r="W62" s="50"/>
      <c r="Z62"/>
    </row>
    <row r="63" spans="3:29" ht="15" customHeight="1" x14ac:dyDescent="0.15">
      <c r="C63" s="186"/>
      <c r="D63" s="205"/>
      <c r="E63" s="188"/>
      <c r="F63" s="226"/>
      <c r="G63" s="296" t="str">
        <f ca="1">IF(L63="b","",IF(L63="l",0,FIXED(F63,K63,0)&amp;M63))</f>
        <v/>
      </c>
      <c r="H63" s="187"/>
      <c r="I63" s="189"/>
      <c r="K63" s="215"/>
      <c r="L63" t="str">
        <f t="shared" ca="1" si="11"/>
        <v>b</v>
      </c>
      <c r="M63" t="str">
        <f>REPT(" ",3-K63)&amp;IF(K63=0," ","")</f>
        <v xml:space="preserve">    </v>
      </c>
      <c r="O63" s="194"/>
      <c r="P63" s="208">
        <f>IF(ISNUMBER(D63),LOOKUP(D63,$AB$5:$AC$7),D63)</f>
        <v>0</v>
      </c>
      <c r="Q63" s="208">
        <f t="shared" si="12"/>
        <v>0</v>
      </c>
      <c r="R63" s="301" t="str">
        <f t="shared" ca="1" si="13"/>
        <v/>
      </c>
      <c r="S63" s="305">
        <f>H63</f>
        <v>0</v>
      </c>
      <c r="T63" s="150"/>
      <c r="U63" s="216">
        <f ca="1">IF(L63="l","",IF(D63+F63&gt;0,SUM(Z63:AA63),-1))</f>
        <v>-1</v>
      </c>
      <c r="V63" s="395"/>
      <c r="W63" s="107"/>
      <c r="Z63" s="114">
        <f>IF(D63&gt;0,0,TRUNC(F63*T63+Y63*X63))</f>
        <v>0</v>
      </c>
      <c r="AA63" t="b">
        <f>IF($D63=1,SUM(Z$13:Z61)-SUM(AA$13:AA61),IF($D63=2,$AA$6,IF($D63=3,TRUNC($AA$6,-3))))</f>
        <v>0</v>
      </c>
      <c r="AB63">
        <f ca="1">IF(OR(AC$8=0,L62="l",D63&gt;0,U63=-1),0,IF(L62="b",-U63,TRUNC(F62*T63)))</f>
        <v>0</v>
      </c>
      <c r="AC63" t="b">
        <f>IF($D63=1,SUM(AB$13:AB61)-SUM(AC$13:AC61),IF($D63=2,$AA$5,IF($D63=3,TRUNC($AA$5,-3))))</f>
        <v>0</v>
      </c>
    </row>
    <row r="64" spans="3:29" ht="15" customHeight="1" x14ac:dyDescent="0.15">
      <c r="C64" s="182"/>
      <c r="D64" s="210"/>
      <c r="E64" s="184"/>
      <c r="F64" s="227"/>
      <c r="G64" s="297" t="str">
        <f ca="1">IF(OR(AC$8=0,L64="b"),"",IF(L64="l",0,"("&amp;FIXED(-F64,K65,0)&amp;M64))</f>
        <v/>
      </c>
      <c r="H64" s="183"/>
      <c r="I64" s="185"/>
      <c r="L64" t="str">
        <f t="shared" ca="1" si="11"/>
        <v>b</v>
      </c>
      <c r="M64" t="str">
        <f>")"&amp;REPT(" ",2-K65)&amp;IF(K65=0," ","")</f>
        <v xml:space="preserve">)   </v>
      </c>
      <c r="O64" s="194"/>
      <c r="P64" s="207">
        <f>D64</f>
        <v>0</v>
      </c>
      <c r="Q64" s="207">
        <f t="shared" si="12"/>
        <v>0</v>
      </c>
      <c r="R64" s="300" t="str">
        <f t="shared" ca="1" si="13"/>
        <v/>
      </c>
      <c r="S64" s="304"/>
      <c r="T64" s="149"/>
      <c r="U64" s="206">
        <f ca="1">IF(OR(AC$8=0,SUM(Z65:AC65)=0),1,IF(L64="l","",SUM(AB65:AC65)))</f>
        <v>1</v>
      </c>
      <c r="V64" s="394"/>
      <c r="W64" s="50"/>
      <c r="Z64"/>
    </row>
    <row r="65" spans="1:29" ht="15" customHeight="1" x14ac:dyDescent="0.15">
      <c r="C65" s="186"/>
      <c r="D65" s="205">
        <v>1</v>
      </c>
      <c r="E65" s="188"/>
      <c r="F65" s="226"/>
      <c r="G65" s="296" t="str">
        <f ca="1">IF(L65="b","",IF(L65="l",0,FIXED(F65,K65,0)&amp;M65))</f>
        <v/>
      </c>
      <c r="H65" s="187"/>
      <c r="I65" s="189"/>
      <c r="K65" s="215"/>
      <c r="L65" t="str">
        <f t="shared" ca="1" si="11"/>
        <v>b</v>
      </c>
      <c r="M65" t="str">
        <f>REPT(" ",3-K65)&amp;IF(K65=0," ","")</f>
        <v xml:space="preserve">    </v>
      </c>
      <c r="O65" s="194"/>
      <c r="P65" s="208" t="str">
        <f>IF(ISNUMBER(D65),LOOKUP(D65,$AB$5:$AC$7),D65)</f>
        <v>小    　計</v>
      </c>
      <c r="Q65" s="208">
        <f t="shared" si="12"/>
        <v>0</v>
      </c>
      <c r="R65" s="301" t="str">
        <f t="shared" ca="1" si="13"/>
        <v/>
      </c>
      <c r="S65" s="305">
        <f>H65</f>
        <v>0</v>
      </c>
      <c r="T65" s="150"/>
      <c r="U65" s="216">
        <f ca="1">IF(L65="l","",IF(D65+F65&gt;0,SUM(Z65:AA65),-1))</f>
        <v>70980</v>
      </c>
      <c r="V65" s="395"/>
      <c r="W65" s="107"/>
      <c r="Z65" s="114">
        <f>IF(D65&gt;0,0,TRUNC(F65*T65+Y65*X65))</f>
        <v>0</v>
      </c>
      <c r="AA65">
        <f>IF($D65=1,SUM(Z$13:Z63)-SUM(AA$13:AA63),IF($D65=2,$AA$6,IF($D65=3,TRUNC($AA$6,-3))))</f>
        <v>70980</v>
      </c>
      <c r="AB65">
        <f ca="1">IF(OR(AC$8=0,L64="l",D65&gt;0,U65=-1),0,IF(L64="b",-U65,TRUNC(F64*T65)))</f>
        <v>0</v>
      </c>
      <c r="AC65">
        <f ca="1">IF($D65=1,SUM(AB$13:AB63)-SUM(AC$13:AC63),IF($D65=2,$AA$5,IF($D65=3,TRUNC($AA$5,-3))))</f>
        <v>0</v>
      </c>
    </row>
    <row r="66" spans="1:29" ht="15" customHeight="1" x14ac:dyDescent="0.15">
      <c r="C66" s="182"/>
      <c r="D66" s="210"/>
      <c r="E66" s="184"/>
      <c r="F66" s="227"/>
      <c r="G66" s="297" t="str">
        <f ca="1">IF(OR(AC$8=0,L66="b"),"",IF(L66="l",0,"("&amp;FIXED(-F66,K67,0)&amp;M66))</f>
        <v/>
      </c>
      <c r="H66" s="183"/>
      <c r="I66" s="185"/>
      <c r="L66" t="str">
        <f t="shared" ca="1" si="11"/>
        <v>b</v>
      </c>
      <c r="M66" t="str">
        <f>")"&amp;REPT(" ",2-K67)&amp;IF(K67=0," ","")</f>
        <v xml:space="preserve">)   </v>
      </c>
      <c r="O66" s="194"/>
      <c r="P66" s="207">
        <f>D66</f>
        <v>0</v>
      </c>
      <c r="Q66" s="207">
        <f t="shared" ref="Q66:Q71" si="14">E66</f>
        <v>0</v>
      </c>
      <c r="R66" s="300" t="str">
        <f t="shared" ca="1" si="13"/>
        <v/>
      </c>
      <c r="S66" s="304"/>
      <c r="T66" s="149"/>
      <c r="U66" s="206">
        <f ca="1">IF(OR(AC$8=0,SUM(Z67:AC67)=0),1,IF(L66="l","",SUM(AB67:AC67)))</f>
        <v>1</v>
      </c>
      <c r="V66" s="394"/>
      <c r="W66" s="50"/>
      <c r="Z66"/>
    </row>
    <row r="67" spans="1:29" ht="15" customHeight="1" x14ac:dyDescent="0.15">
      <c r="C67" s="186"/>
      <c r="D67" s="205"/>
      <c r="E67" s="188"/>
      <c r="F67" s="226"/>
      <c r="G67" s="296" t="str">
        <f ca="1">IF(L67="b","",IF(L67="l",0,FIXED(F67,K67,0)&amp;M67))</f>
        <v/>
      </c>
      <c r="H67" s="187"/>
      <c r="I67" s="189"/>
      <c r="K67" s="215"/>
      <c r="L67" t="str">
        <f t="shared" ca="1" si="11"/>
        <v>b</v>
      </c>
      <c r="M67" t="str">
        <f>REPT(" ",3-K67)&amp;IF(K67=0," ","")</f>
        <v xml:space="preserve">    </v>
      </c>
      <c r="O67" s="194"/>
      <c r="P67" s="208">
        <f>IF(ISNUMBER(D67),LOOKUP(D67,$AB$5:$AC$7),D67)</f>
        <v>0</v>
      </c>
      <c r="Q67" s="208">
        <f t="shared" si="14"/>
        <v>0</v>
      </c>
      <c r="R67" s="301" t="str">
        <f t="shared" ca="1" si="13"/>
        <v/>
      </c>
      <c r="S67" s="305">
        <f>H67</f>
        <v>0</v>
      </c>
      <c r="T67" s="150"/>
      <c r="U67" s="216">
        <f ca="1">IF(L67="l","",IF(D67+F67&gt;0,SUM(Z67:AA67),-1))</f>
        <v>-1</v>
      </c>
      <c r="V67" s="404"/>
      <c r="W67" s="107"/>
      <c r="Z67" s="114">
        <f>IF(D67&gt;0,0,TRUNC(F67*T67+Y67*X67))</f>
        <v>0</v>
      </c>
      <c r="AA67" t="b">
        <f>IF($D67=1,SUM(Z$13:Z65)-SUM(AA$13:AA65),IF($D67=2,$AA$6,IF($D67=3,TRUNC($AA$6,-3))))</f>
        <v>0</v>
      </c>
      <c r="AB67">
        <f ca="1">IF(OR(AC$8=0,L66="l",D67&gt;0,U67=-1),0,IF(L66="b",-U67,TRUNC(F66*T67)))</f>
        <v>0</v>
      </c>
      <c r="AC67" t="b">
        <f>IF($D67=1,SUM(AB$13:AB65)-SUM(AC$13:AC65),IF($D67=2,$AA$5,IF($D67=3,TRUNC($AA$5,-3))))</f>
        <v>0</v>
      </c>
    </row>
    <row r="68" spans="1:29" ht="15" customHeight="1" x14ac:dyDescent="0.15">
      <c r="C68" s="182"/>
      <c r="D68" s="210"/>
      <c r="E68" s="184"/>
      <c r="F68" s="227"/>
      <c r="G68" s="297" t="str">
        <f ca="1">IF(OR(AC$8=0,L68="b"),"",IF(L68="l",0,"("&amp;FIXED(-F68,K69,0)&amp;M68))</f>
        <v/>
      </c>
      <c r="H68" s="183"/>
      <c r="I68" s="185"/>
      <c r="L68" t="str">
        <f t="shared" ca="1" si="11"/>
        <v>b</v>
      </c>
      <c r="M68" t="str">
        <f>")"&amp;REPT(" ",2-K69)&amp;IF(K69=0," ","")</f>
        <v xml:space="preserve">)   </v>
      </c>
      <c r="O68" s="194"/>
      <c r="P68" s="207">
        <f>D68</f>
        <v>0</v>
      </c>
      <c r="Q68" s="207">
        <f t="shared" si="14"/>
        <v>0</v>
      </c>
      <c r="R68" s="300" t="str">
        <f t="shared" ca="1" si="13"/>
        <v/>
      </c>
      <c r="S68" s="304"/>
      <c r="T68" s="149"/>
      <c r="U68" s="206">
        <f ca="1">IF(OR(AC$8=0,SUM(Z69:AC69)=0),1,IF(L68="l","",SUM(AB69:AC69)))</f>
        <v>1</v>
      </c>
      <c r="V68" s="394"/>
      <c r="W68" s="50"/>
      <c r="Z68"/>
    </row>
    <row r="69" spans="1:29" ht="15" customHeight="1" x14ac:dyDescent="0.15">
      <c r="C69" s="186"/>
      <c r="D69" s="205">
        <v>2</v>
      </c>
      <c r="E69" s="188"/>
      <c r="F69" s="226"/>
      <c r="G69" s="296" t="str">
        <f ca="1">IF(L69="b","",IF(L69="l",0,FIXED(F69,K69,0)&amp;M69))</f>
        <v/>
      </c>
      <c r="H69" s="187"/>
      <c r="I69" s="189"/>
      <c r="K69" s="215"/>
      <c r="L69" t="str">
        <f t="shared" ca="1" si="11"/>
        <v>b</v>
      </c>
      <c r="M69" t="str">
        <f>REPT(" ",3-K69)&amp;IF(K69=0," ","")</f>
        <v xml:space="preserve">    </v>
      </c>
      <c r="O69" s="194"/>
      <c r="P69" s="208" t="str">
        <f>IF(ISNUMBER(D69),LOOKUP(D69,$AB$5:$AC$7),D69)</f>
        <v>合　　　計</v>
      </c>
      <c r="Q69" s="208">
        <f t="shared" si="14"/>
        <v>0</v>
      </c>
      <c r="R69" s="301" t="str">
        <f t="shared" ca="1" si="13"/>
        <v/>
      </c>
      <c r="S69" s="305">
        <f>H69</f>
        <v>0</v>
      </c>
      <c r="T69" s="150"/>
      <c r="U69" s="216">
        <f ca="1">IF(L69="l","",IF(D69+F69&gt;0,SUM(Z69:AA69),-1))</f>
        <v>77102</v>
      </c>
      <c r="V69" s="404"/>
      <c r="W69" s="107"/>
      <c r="Z69" s="114">
        <f>IF(D69&gt;0,0,TRUNC(F69*T69+Y69*X69))</f>
        <v>0</v>
      </c>
      <c r="AA69">
        <f ca="1">IF($D69=1,SUM(Z$13:Z67)-SUM(AA$13:AA67),IF($D69=2,$AA$6,IF($D69=3,TRUNC($AA$6,-3))))</f>
        <v>77102</v>
      </c>
      <c r="AB69">
        <f ca="1">IF(OR(AC$8=0,L68="l",D69&gt;0,U69=-1),0,IF(L68="b",-U69,TRUNC(F68*T69)))</f>
        <v>0</v>
      </c>
      <c r="AC69">
        <f ca="1">IF($D69=1,SUM(AB$13:AB67)-SUM(AC$13:AC67),IF($D69=2,$AA$5,IF($D69=3,TRUNC($AA$5,-3))))</f>
        <v>0</v>
      </c>
    </row>
    <row r="70" spans="1:29" ht="15" customHeight="1" x14ac:dyDescent="0.15">
      <c r="C70" s="182"/>
      <c r="D70" s="210"/>
      <c r="E70" s="184"/>
      <c r="F70" s="227"/>
      <c r="G70" s="297" t="str">
        <f ca="1">IF(OR(AC$8=0,L70="b"),"",IF(L70="l",0,"("&amp;FIXED(-F70,K71,0)&amp;M70))</f>
        <v/>
      </c>
      <c r="H70" s="183"/>
      <c r="I70" s="185"/>
      <c r="L70" t="str">
        <f t="shared" ca="1" si="11"/>
        <v>b</v>
      </c>
      <c r="M70" t="str">
        <f>")"&amp;REPT(" ",2-K71)&amp;IF(K71=0," ","")</f>
        <v xml:space="preserve">)   </v>
      </c>
      <c r="O70" s="194"/>
      <c r="P70" s="207">
        <f>D70</f>
        <v>0</v>
      </c>
      <c r="Q70" s="207">
        <f t="shared" si="14"/>
        <v>0</v>
      </c>
      <c r="R70" s="300" t="str">
        <f t="shared" ca="1" si="13"/>
        <v/>
      </c>
      <c r="S70" s="304"/>
      <c r="T70" s="149"/>
      <c r="U70" s="206">
        <f ca="1">IF(OR(AC$8=0,SUM(Z71:AC71)=0),1,IF(L70="l","",SUM(AB71:AC71)))</f>
        <v>1</v>
      </c>
      <c r="V70" s="394"/>
      <c r="W70" s="50"/>
      <c r="Z70"/>
    </row>
    <row r="71" spans="1:29" ht="15" customHeight="1" x14ac:dyDescent="0.15">
      <c r="C71" s="186"/>
      <c r="D71" s="205">
        <v>3</v>
      </c>
      <c r="E71" s="188"/>
      <c r="F71" s="226"/>
      <c r="G71" s="296" t="str">
        <f ca="1">IF(L71="b","",IF(L71="l",0,FIXED(F71,K71,0)&amp;M71))</f>
        <v/>
      </c>
      <c r="H71" s="187"/>
      <c r="I71" s="189"/>
      <c r="K71" s="215"/>
      <c r="L71" t="str">
        <f t="shared" ca="1" si="11"/>
        <v>b</v>
      </c>
      <c r="M71" t="str">
        <f>REPT(" ",3-K71)&amp;IF(K71=0," ","")</f>
        <v xml:space="preserve">    </v>
      </c>
      <c r="O71" s="194"/>
      <c r="P71" s="208" t="str">
        <f>IF(ISNUMBER(D71),LOOKUP(D71,$AB$5:$AC$7),D71)</f>
        <v>改　　　め</v>
      </c>
      <c r="Q71" s="208">
        <f t="shared" si="14"/>
        <v>0</v>
      </c>
      <c r="R71" s="301" t="str">
        <f t="shared" ca="1" si="13"/>
        <v/>
      </c>
      <c r="S71" s="305">
        <f>H71</f>
        <v>0</v>
      </c>
      <c r="T71" s="150"/>
      <c r="U71" s="216">
        <f ca="1">IF(L71="l","",IF(D71+F71&gt;0,SUM(Z71:AA71),-1))</f>
        <v>77000</v>
      </c>
      <c r="V71" s="404"/>
      <c r="W71" s="107"/>
      <c r="Z71" s="114">
        <f>IF(D71&gt;0,0,TRUNC(F71*T71+Y71*X71))</f>
        <v>0</v>
      </c>
      <c r="AA71">
        <f ca="1">IF($D71=1,SUM(Z$13:Z69)-SUM(AA$13:AA69),IF($D71=2,$AA$6,IF($D71=3,TRUNC($AA$6,-3))))</f>
        <v>77000</v>
      </c>
      <c r="AB71">
        <f ca="1">IF(OR(AC$8=0,L70="l",D71&gt;0,U71=-1),0,IF(L70="b",-U71,TRUNC(F70*T71)))</f>
        <v>0</v>
      </c>
      <c r="AC71">
        <f ca="1">IF($D71=1,SUM(AB$13:AB69)-SUM(AC$13:AC69),IF($D71=2,$AA$5,IF($D71=3,TRUNC($AA$5,-3))))</f>
        <v>0</v>
      </c>
    </row>
    <row r="72" spans="1:29" ht="15" customHeight="1" x14ac:dyDescent="0.15">
      <c r="C72" s="182"/>
      <c r="D72" s="210"/>
      <c r="E72" s="184"/>
      <c r="F72" s="227"/>
      <c r="G72" s="297" t="str">
        <f ca="1">IF(OR(AC$8=0,L72="b"),"",IF(L72="l",0,"("&amp;FIXED(-F72,K73,0)&amp;M72))</f>
        <v/>
      </c>
      <c r="H72" s="183"/>
      <c r="I72" s="185"/>
      <c r="L72" t="str">
        <f t="shared" ca="1" si="11"/>
        <v>b</v>
      </c>
      <c r="M72" t="str">
        <f>")"&amp;REPT(" ",2-K73)&amp;IF(K73=0," ","")</f>
        <v xml:space="preserve">)   </v>
      </c>
      <c r="O72" s="194"/>
      <c r="P72" s="207">
        <f>D72</f>
        <v>0</v>
      </c>
      <c r="Q72" s="207">
        <f t="shared" si="12"/>
        <v>0</v>
      </c>
      <c r="R72" s="300" t="str">
        <f t="shared" ca="1" si="13"/>
        <v/>
      </c>
      <c r="S72" s="304"/>
      <c r="T72" s="149"/>
      <c r="U72" s="206">
        <f ca="1">IF(OR(AC$8=0,SUM(Z73:AC73)=0),1,IF(L72="l","",SUM(AB73:AC73)))</f>
        <v>1</v>
      </c>
      <c r="V72" s="394"/>
      <c r="W72" s="50"/>
      <c r="Z72"/>
    </row>
    <row r="73" spans="1:29" ht="15" customHeight="1" thickBot="1" x14ac:dyDescent="0.2">
      <c r="C73" s="190"/>
      <c r="D73" s="211"/>
      <c r="E73" s="192"/>
      <c r="F73" s="228"/>
      <c r="G73" s="298" t="str">
        <f ca="1">IF(L73="b","",IF(L73="l",0,FIXED(F73,K73,0)&amp;M73))</f>
        <v/>
      </c>
      <c r="H73" s="191"/>
      <c r="I73" s="193"/>
      <c r="K73" s="215"/>
      <c r="L73" t="str">
        <f t="shared" ca="1" si="11"/>
        <v>b</v>
      </c>
      <c r="M73" t="str">
        <f>REPT(" ",3-K73)&amp;IF(K73=0," ","")</f>
        <v xml:space="preserve">    </v>
      </c>
      <c r="O73" s="254"/>
      <c r="P73" s="209">
        <f>IF(ISNUMBER(D73),LOOKUP(D73,$AB$5:$AC$7),D73)</f>
        <v>0</v>
      </c>
      <c r="Q73" s="209">
        <f t="shared" si="12"/>
        <v>0</v>
      </c>
      <c r="R73" s="302" t="str">
        <f t="shared" ca="1" si="13"/>
        <v/>
      </c>
      <c r="S73" s="306">
        <f>H73</f>
        <v>0</v>
      </c>
      <c r="T73" s="151"/>
      <c r="U73" s="217">
        <f ca="1">IF(L73="l","",IF(D73+F73&gt;0,SUM(Z73:AA73),-1))</f>
        <v>-1</v>
      </c>
      <c r="V73" s="396"/>
      <c r="W73" s="55"/>
      <c r="Z73" s="114">
        <f>IF(D73&gt;0,0,TRUNC(F73*T73+Y73*X73))</f>
        <v>0</v>
      </c>
      <c r="AA73" t="b">
        <f>IF($D73=1,SUM(Z$13:Z71)-SUM(AA$13:AA71),IF($D73=2,$AA$6,IF($D73=3,TRUNC($AA$6,-3))))</f>
        <v>0</v>
      </c>
      <c r="AB73">
        <f ca="1">IF(OR(AC$8=0,L72="l",D73&gt;0,U73=-1),0,IF(L72="b",-U73,TRUNC(F72*T73)))</f>
        <v>0</v>
      </c>
      <c r="AC73" t="b">
        <f>IF($D73=1,SUM(AB$13:AB71)-SUM(AC$13:AC71),IF($D73=2,$AA$5,IF($D73=3,TRUNC($AA$5,-3))))</f>
        <v>0</v>
      </c>
    </row>
    <row r="74" spans="1:29" ht="13.5" customHeight="1" thickBot="1" x14ac:dyDescent="0.2">
      <c r="A74" s="257" t="b">
        <f>SUM(F79:F141)&gt;0</f>
        <v>0</v>
      </c>
      <c r="B74" s="257"/>
      <c r="C74" s="257"/>
      <c r="D74" s="257"/>
      <c r="E74" s="257"/>
      <c r="F74" s="257"/>
      <c r="G74" s="100" t="s">
        <v>399</v>
      </c>
      <c r="H74" s="257"/>
      <c r="I74" s="257" t="str">
        <f>"( "&amp;FIXED(SUM(A$8:A74),0)&amp;" ／ "&amp;FIXED(B$8,0)&amp;" )"</f>
        <v>( 1 ／ 1 )</v>
      </c>
      <c r="J74" s="257"/>
      <c r="K74" s="257"/>
      <c r="L74" s="257"/>
      <c r="M74" s="257"/>
      <c r="N74" s="257"/>
      <c r="O74" s="257"/>
      <c r="P74" s="257"/>
      <c r="Q74" s="257"/>
      <c r="R74" s="257"/>
      <c r="S74" s="257"/>
      <c r="T74" s="257"/>
      <c r="U74" s="258" t="str">
        <f>G74</f>
        <v>電気設備(建築工事)</v>
      </c>
      <c r="V74" s="390"/>
      <c r="W74" s="257" t="str">
        <f>"( "&amp;FIXED(SUM(A$8:A74),0)&amp;" ／ "&amp;FIXED(B$8,0)&amp;" )"</f>
        <v>( 1 ／ 1 )</v>
      </c>
      <c r="Z74"/>
    </row>
    <row r="75" spans="1:29" ht="13.5" customHeight="1" x14ac:dyDescent="0.15">
      <c r="C75" s="16"/>
      <c r="D75" s="102"/>
      <c r="E75" s="102"/>
      <c r="F75" s="18"/>
      <c r="G75" s="102"/>
      <c r="H75" s="102"/>
      <c r="I75" s="48"/>
      <c r="O75" s="780" t="s">
        <v>258</v>
      </c>
      <c r="P75" s="47"/>
      <c r="Q75" s="47"/>
      <c r="R75" s="102"/>
      <c r="S75" s="47"/>
      <c r="T75" s="109" t="s">
        <v>88</v>
      </c>
      <c r="U75" s="110"/>
      <c r="V75" s="781" t="s">
        <v>257</v>
      </c>
      <c r="W75" s="48"/>
    </row>
    <row r="76" spans="1:29" ht="13.5" customHeight="1" x14ac:dyDescent="0.15">
      <c r="C76" s="24" t="s">
        <v>222</v>
      </c>
      <c r="D76" s="6" t="s">
        <v>223</v>
      </c>
      <c r="E76" s="7" t="s">
        <v>224</v>
      </c>
      <c r="F76" s="25"/>
      <c r="G76" s="6" t="s">
        <v>105</v>
      </c>
      <c r="H76" s="6" t="s">
        <v>92</v>
      </c>
      <c r="I76" s="69" t="s">
        <v>225</v>
      </c>
      <c r="O76" s="752"/>
      <c r="P76" s="6" t="s">
        <v>89</v>
      </c>
      <c r="Q76" s="6" t="s">
        <v>90</v>
      </c>
      <c r="R76" s="7" t="s">
        <v>91</v>
      </c>
      <c r="S76" s="6" t="s">
        <v>92</v>
      </c>
      <c r="T76" s="6" t="s">
        <v>93</v>
      </c>
      <c r="U76" s="6" t="s">
        <v>94</v>
      </c>
      <c r="V76" s="782"/>
      <c r="W76" s="106" t="s">
        <v>226</v>
      </c>
      <c r="Z76"/>
    </row>
    <row r="77" spans="1:29" ht="13.5" customHeight="1" thickBot="1" x14ac:dyDescent="0.2">
      <c r="C77" s="71"/>
      <c r="D77" s="40"/>
      <c r="E77" s="40"/>
      <c r="F77" s="36"/>
      <c r="G77" s="40"/>
      <c r="H77" s="40"/>
      <c r="I77" s="52"/>
      <c r="M77" t="s">
        <v>227</v>
      </c>
      <c r="O77" s="753"/>
      <c r="P77" s="39"/>
      <c r="Q77" s="39"/>
      <c r="R77" s="40"/>
      <c r="S77" s="39"/>
      <c r="T77" s="56" t="s">
        <v>96</v>
      </c>
      <c r="U77" s="56" t="s">
        <v>96</v>
      </c>
      <c r="V77" s="783"/>
      <c r="W77" s="52"/>
    </row>
    <row r="78" spans="1:29" ht="15" customHeight="1" thickTop="1" x14ac:dyDescent="0.15">
      <c r="C78" s="182"/>
      <c r="D78" s="214"/>
      <c r="E78" s="184"/>
      <c r="F78" s="227"/>
      <c r="G78" s="297" t="str">
        <f ca="1">IF(OR(AC$8=0,L78="b"),"",IF(L78="l",0,"("&amp;FIXED(-F78,K79,0)&amp;M78))</f>
        <v/>
      </c>
      <c r="H78" s="183"/>
      <c r="I78" s="185"/>
      <c r="L78" t="str">
        <f t="shared" ref="L78:L141" ca="1" si="15">CELL("type",F78)</f>
        <v>b</v>
      </c>
      <c r="M78" t="str">
        <f>")"&amp;REPT(" ",2-K79)&amp;IF(K79=0," ","")</f>
        <v xml:space="preserve">)   </v>
      </c>
      <c r="O78" s="182"/>
      <c r="P78" s="207">
        <f>D78</f>
        <v>0</v>
      </c>
      <c r="Q78" s="207">
        <f t="shared" ref="Q78:Q141" si="16">E78</f>
        <v>0</v>
      </c>
      <c r="R78" s="300" t="str">
        <f t="shared" ref="R78:R141" ca="1" si="17">G78</f>
        <v/>
      </c>
      <c r="S78" s="304"/>
      <c r="T78" s="149"/>
      <c r="U78" s="206">
        <f ca="1">IF(OR(AC$8=0,SUM(Z79:AC79)=0),1,IF(L78="l","",SUM(AB79:AC79)))</f>
        <v>1</v>
      </c>
      <c r="V78" s="394"/>
      <c r="W78" s="50"/>
      <c r="Z78"/>
    </row>
    <row r="79" spans="1:29" ht="15" customHeight="1" x14ac:dyDescent="0.15">
      <c r="C79" s="186"/>
      <c r="D79" s="213"/>
      <c r="E79" s="188"/>
      <c r="F79" s="226"/>
      <c r="G79" s="296" t="str">
        <f ca="1">IF(L79="b","",IF(L79="l",0,FIXED(F79,K79,0)&amp;M79))</f>
        <v/>
      </c>
      <c r="H79" s="187"/>
      <c r="I79" s="189"/>
      <c r="K79" s="215"/>
      <c r="L79" t="str">
        <f t="shared" ca="1" si="15"/>
        <v>b</v>
      </c>
      <c r="M79" t="str">
        <f>REPT(" ",3-K79)&amp;IF(K79=0," ","")</f>
        <v xml:space="preserve">    </v>
      </c>
      <c r="O79" s="182"/>
      <c r="P79" s="208">
        <f>IF(ISNUMBER(D79),LOOKUP(D79,$AB$5:$AC$7),D79)</f>
        <v>0</v>
      </c>
      <c r="Q79" s="208">
        <f t="shared" si="16"/>
        <v>0</v>
      </c>
      <c r="R79" s="301" t="str">
        <f t="shared" ca="1" si="17"/>
        <v/>
      </c>
      <c r="S79" s="305">
        <f>H79</f>
        <v>0</v>
      </c>
      <c r="T79" s="150"/>
      <c r="U79" s="216">
        <f ca="1">IF(L79="l","",IF(D79+F79&gt;0,SUM(Z79:AA79),-1))</f>
        <v>-1</v>
      </c>
      <c r="V79" s="395"/>
      <c r="W79" s="107"/>
      <c r="Z79" s="114">
        <f>IF(D79&gt;0,0,TRUNC(F79*T79+Y79*X79))</f>
        <v>0</v>
      </c>
      <c r="AA79" t="b">
        <f>IF($D79=1,SUM(Z$13:Z77)-SUM(AA$13:AA77),IF($D79=2,$AA$6,IF($D79=3,TRUNC($AA$6,-3))))</f>
        <v>0</v>
      </c>
      <c r="AB79">
        <f ca="1">IF(OR(AC$8=0,L78="l",D79&gt;0,U79=-1),0,IF(L78="b",-U79,TRUNC(F78*T79)))</f>
        <v>0</v>
      </c>
      <c r="AC79" t="b">
        <f>IF($D79=1,SUM(AB$13:AB77)-SUM(AC$13:AC77),IF($D79=2,$AA$5,IF($D79=3,TRUNC($AA$5,-3))))</f>
        <v>0</v>
      </c>
    </row>
    <row r="80" spans="1:29" ht="15" customHeight="1" x14ac:dyDescent="0.15">
      <c r="C80" s="182"/>
      <c r="D80" s="210"/>
      <c r="E80" s="184"/>
      <c r="F80" s="227"/>
      <c r="G80" s="297" t="str">
        <f ca="1">IF(OR(AC$8=0,L80="b"),"",IF(L80="l",0,"("&amp;FIXED(-F80,K81,0)&amp;M80))</f>
        <v/>
      </c>
      <c r="H80" s="183"/>
      <c r="I80" s="185"/>
      <c r="L80" t="str">
        <f t="shared" ca="1" si="15"/>
        <v>b</v>
      </c>
      <c r="M80" t="str">
        <f>")"&amp;REPT(" ",2-K81)&amp;IF(K81=0," ","")</f>
        <v xml:space="preserve">)   </v>
      </c>
      <c r="O80" s="194"/>
      <c r="P80" s="207">
        <f>D80</f>
        <v>0</v>
      </c>
      <c r="Q80" s="207">
        <f t="shared" si="16"/>
        <v>0</v>
      </c>
      <c r="R80" s="300" t="str">
        <f t="shared" ca="1" si="17"/>
        <v/>
      </c>
      <c r="S80" s="304"/>
      <c r="T80" s="144"/>
      <c r="U80" s="206">
        <f ca="1">IF(OR(AC$8=0,SUM(Z81:AC81)=0),1,IF(L80="l","",SUM(AB81:AC81)))</f>
        <v>1</v>
      </c>
      <c r="V80" s="385"/>
      <c r="W80" s="50"/>
      <c r="Z80"/>
    </row>
    <row r="81" spans="3:29" ht="15" customHeight="1" x14ac:dyDescent="0.15">
      <c r="C81" s="186"/>
      <c r="D81" s="205"/>
      <c r="E81" s="188"/>
      <c r="F81" s="226"/>
      <c r="G81" s="296" t="str">
        <f ca="1">IF(L81="b","",IF(L81="l",0,FIXED(F81,K81,0)&amp;M81))</f>
        <v/>
      </c>
      <c r="H81" s="187"/>
      <c r="I81" s="189"/>
      <c r="K81" s="215"/>
      <c r="L81" t="str">
        <f t="shared" ca="1" si="15"/>
        <v>b</v>
      </c>
      <c r="M81" t="str">
        <f>REPT(" ",3-K81)&amp;IF(K81=0," ","")</f>
        <v xml:space="preserve">    </v>
      </c>
      <c r="O81" s="194"/>
      <c r="P81" s="208">
        <f>IF(ISNUMBER(D81),LOOKUP(D81,$AB$5:$AC$7),D81)</f>
        <v>0</v>
      </c>
      <c r="Q81" s="208">
        <f t="shared" si="16"/>
        <v>0</v>
      </c>
      <c r="R81" s="301" t="str">
        <f t="shared" ca="1" si="17"/>
        <v/>
      </c>
      <c r="S81" s="305">
        <f>H81</f>
        <v>0</v>
      </c>
      <c r="T81" s="145"/>
      <c r="U81" s="216">
        <f ca="1">IF(L81="l","",IF(D81+F81&gt;0,SUM(Z81:AA81),-1))</f>
        <v>-1</v>
      </c>
      <c r="V81" s="386"/>
      <c r="W81" s="107"/>
      <c r="Y81" s="114"/>
      <c r="Z81" s="114">
        <f>IF(D81&gt;0,0,TRUNC(F81*T81+Y81*X81))</f>
        <v>0</v>
      </c>
      <c r="AA81" t="b">
        <f>IF($D81=1,SUM(Z$13:Z79)-SUM(AA$13:AA79),IF($D81=2,$AA$6,IF($D81=3,TRUNC($AA$6,-3))))</f>
        <v>0</v>
      </c>
      <c r="AB81">
        <f ca="1">IF(OR(AC$8=0,L80="l",D81&gt;0,U81=-1),0,IF(L80="b",-U81,TRUNC(F80*T81)))</f>
        <v>0</v>
      </c>
      <c r="AC81" t="b">
        <f>IF($D81=1,SUM(AB$13:AB79)-SUM(AC$13:AC79),IF($D81=2,$AA$5,IF($D81=3,TRUNC($AA$5,-3))))</f>
        <v>0</v>
      </c>
    </row>
    <row r="82" spans="3:29" ht="15" customHeight="1" x14ac:dyDescent="0.15">
      <c r="C82" s="182"/>
      <c r="D82" s="210"/>
      <c r="E82" s="184"/>
      <c r="F82" s="227"/>
      <c r="G82" s="297" t="str">
        <f ca="1">IF(OR(AC$8=0,L82="b"),"",IF(L82="l",0,"("&amp;FIXED(-F82,K83,0)&amp;M82))</f>
        <v/>
      </c>
      <c r="H82" s="183"/>
      <c r="I82" s="185"/>
      <c r="L82" t="str">
        <f t="shared" ca="1" si="15"/>
        <v>b</v>
      </c>
      <c r="M82" t="str">
        <f>")"&amp;REPT(" ",2-K83)&amp;IF(K83=0," ","")</f>
        <v xml:space="preserve">)   </v>
      </c>
      <c r="O82" s="194"/>
      <c r="P82" s="207">
        <f>D82</f>
        <v>0</v>
      </c>
      <c r="Q82" s="207">
        <f t="shared" si="16"/>
        <v>0</v>
      </c>
      <c r="R82" s="300" t="str">
        <f t="shared" ca="1" si="17"/>
        <v/>
      </c>
      <c r="S82" s="304"/>
      <c r="T82" s="149"/>
      <c r="U82" s="206">
        <f ca="1">IF(OR(AC$8=0,SUM(Z83:AC83)=0),1,IF(L82="l","",SUM(AB83:AC83)))</f>
        <v>1</v>
      </c>
      <c r="V82" s="394"/>
      <c r="W82" s="50"/>
      <c r="Z82"/>
    </row>
    <row r="83" spans="3:29" ht="15" customHeight="1" x14ac:dyDescent="0.15">
      <c r="C83" s="186"/>
      <c r="D83" s="205"/>
      <c r="E83" s="188"/>
      <c r="F83" s="226"/>
      <c r="G83" s="296" t="str">
        <f ca="1">IF(L83="b","",IF(L83="l",0,FIXED(F83,K83,0)&amp;M83))</f>
        <v/>
      </c>
      <c r="H83" s="187"/>
      <c r="I83" s="189"/>
      <c r="K83" s="215"/>
      <c r="L83" t="str">
        <f t="shared" ca="1" si="15"/>
        <v>b</v>
      </c>
      <c r="M83" t="str">
        <f>REPT(" ",3-K83)&amp;IF(K83=0," ","")</f>
        <v xml:space="preserve">    </v>
      </c>
      <c r="O83" s="194"/>
      <c r="P83" s="208">
        <f>IF(ISNUMBER(D83),LOOKUP(D83,$AB$5:$AC$7),D83)</f>
        <v>0</v>
      </c>
      <c r="Q83" s="208">
        <f t="shared" si="16"/>
        <v>0</v>
      </c>
      <c r="R83" s="301" t="str">
        <f t="shared" ca="1" si="17"/>
        <v/>
      </c>
      <c r="S83" s="305">
        <f>H83</f>
        <v>0</v>
      </c>
      <c r="T83" s="150"/>
      <c r="U83" s="216">
        <f ca="1">IF(L83="l","",IF(D83+F83&gt;0,SUM(Z83:AA83),-1))</f>
        <v>-1</v>
      </c>
      <c r="V83" s="395"/>
      <c r="W83" s="107"/>
      <c r="Z83" s="114">
        <f>IF(D83&gt;0,0,TRUNC(F83*T83+Y83*X83))</f>
        <v>0</v>
      </c>
      <c r="AA83" t="b">
        <f>IF($D83=1,SUM(Z$13:Z81)-SUM(AA$13:AA81),IF($D83=2,$AA$6,IF($D83=3,TRUNC($AA$6,-3))))</f>
        <v>0</v>
      </c>
      <c r="AB83">
        <f ca="1">IF(OR(AC$8=0,L82="l",D83&gt;0,U83=-1),0,IF(L82="b",-U83,TRUNC(F82*T83)))</f>
        <v>0</v>
      </c>
      <c r="AC83" t="b">
        <f>IF($D83=1,SUM(AB$13:AB81)-SUM(AC$13:AC81),IF($D83=2,$AA$5,IF($D83=3,TRUNC($AA$5,-3))))</f>
        <v>0</v>
      </c>
    </row>
    <row r="84" spans="3:29" ht="15" customHeight="1" x14ac:dyDescent="0.15">
      <c r="C84" s="182"/>
      <c r="D84" s="210"/>
      <c r="E84" s="184"/>
      <c r="F84" s="227"/>
      <c r="G84" s="297" t="str">
        <f ca="1">IF(OR(AC$8=0,L84="b"),"",IF(L84="l",0,"("&amp;FIXED(-F84,K85,0)&amp;M84))</f>
        <v/>
      </c>
      <c r="H84" s="183"/>
      <c r="I84" s="185"/>
      <c r="L84" t="str">
        <f t="shared" ca="1" si="15"/>
        <v>b</v>
      </c>
      <c r="M84" t="str">
        <f>")"&amp;REPT(" ",2-K85)&amp;IF(K85=0," ","")</f>
        <v xml:space="preserve">)   </v>
      </c>
      <c r="O84" s="194"/>
      <c r="P84" s="207">
        <f>D84</f>
        <v>0</v>
      </c>
      <c r="Q84" s="207">
        <f t="shared" si="16"/>
        <v>0</v>
      </c>
      <c r="R84" s="300" t="str">
        <f t="shared" ca="1" si="17"/>
        <v/>
      </c>
      <c r="S84" s="304"/>
      <c r="T84" s="149"/>
      <c r="U84" s="206">
        <f ca="1">IF(OR(AC$8=0,SUM(Z85:AC85)=0),1,IF(L84="l","",SUM(AB85:AC85)))</f>
        <v>1</v>
      </c>
      <c r="V84" s="394"/>
      <c r="W84" s="50"/>
      <c r="Z84"/>
    </row>
    <row r="85" spans="3:29" ht="15" customHeight="1" x14ac:dyDescent="0.15">
      <c r="C85" s="186"/>
      <c r="D85" s="205"/>
      <c r="E85" s="188"/>
      <c r="F85" s="226"/>
      <c r="G85" s="296" t="str">
        <f ca="1">IF(L85="b","",IF(L85="l",0,FIXED(F85,K85,0)&amp;M85))</f>
        <v/>
      </c>
      <c r="H85" s="187"/>
      <c r="I85" s="189"/>
      <c r="K85" s="215"/>
      <c r="L85" t="str">
        <f t="shared" ca="1" si="15"/>
        <v>b</v>
      </c>
      <c r="M85" t="str">
        <f>REPT(" ",3-K85)&amp;IF(K85=0," ","")</f>
        <v xml:space="preserve">    </v>
      </c>
      <c r="O85" s="194"/>
      <c r="P85" s="208">
        <f>IF(ISNUMBER(D85),LOOKUP(D85,$AB$5:$AC$7),D85)</f>
        <v>0</v>
      </c>
      <c r="Q85" s="208">
        <f t="shared" si="16"/>
        <v>0</v>
      </c>
      <c r="R85" s="301" t="str">
        <f t="shared" ca="1" si="17"/>
        <v/>
      </c>
      <c r="S85" s="305">
        <f>H85</f>
        <v>0</v>
      </c>
      <c r="T85" s="150"/>
      <c r="U85" s="216">
        <f ca="1">IF(L85="l","",IF(D85+F85&gt;0,SUM(Z85:AA85),-1))</f>
        <v>-1</v>
      </c>
      <c r="V85" s="395"/>
      <c r="W85" s="107"/>
      <c r="Z85" s="114">
        <f>IF(D85&gt;0,0,TRUNC(F85*T85+Y85*X85))</f>
        <v>0</v>
      </c>
      <c r="AA85" t="b">
        <f>IF($D85=1,SUM(Z$13:Z83)-SUM(AA$13:AA83),IF($D85=2,$AA$6,IF($D85=3,TRUNC($AA$6,-3))))</f>
        <v>0</v>
      </c>
      <c r="AB85">
        <f ca="1">IF(OR(AC$8=0,L84="l",D85&gt;0,U85=-1),0,IF(L84="b",-U85,TRUNC(F84*T85)))</f>
        <v>0</v>
      </c>
      <c r="AC85" t="b">
        <f>IF($D85=1,SUM(AB$13:AB83)-SUM(AC$13:AC83),IF($D85=2,$AA$5,IF($D85=3,TRUNC($AA$5,-3))))</f>
        <v>0</v>
      </c>
    </row>
    <row r="86" spans="3:29" ht="15" customHeight="1" x14ac:dyDescent="0.15">
      <c r="C86" s="182"/>
      <c r="D86" s="210"/>
      <c r="E86" s="184"/>
      <c r="F86" s="227"/>
      <c r="G86" s="297" t="str">
        <f ca="1">IF(OR(AC$8=0,L86="b"),"",IF(L86="l",0,"("&amp;FIXED(-F86,K87,0)&amp;M86))</f>
        <v/>
      </c>
      <c r="H86" s="183"/>
      <c r="I86" s="185"/>
      <c r="L86" t="str">
        <f t="shared" ca="1" si="15"/>
        <v>b</v>
      </c>
      <c r="M86" t="str">
        <f>")"&amp;REPT(" ",2-K87)&amp;IF(K87=0," ","")</f>
        <v xml:space="preserve">)   </v>
      </c>
      <c r="O86" s="194"/>
      <c r="P86" s="207">
        <f>D86</f>
        <v>0</v>
      </c>
      <c r="Q86" s="207">
        <f t="shared" si="16"/>
        <v>0</v>
      </c>
      <c r="R86" s="300" t="str">
        <f t="shared" ca="1" si="17"/>
        <v/>
      </c>
      <c r="S86" s="304"/>
      <c r="T86" s="149"/>
      <c r="U86" s="206">
        <f ca="1">IF(OR(AC$8=0,SUM(Z87:AC87)=0),1,IF(L86="l","",SUM(AB87:AC87)))</f>
        <v>1</v>
      </c>
      <c r="V86" s="394"/>
      <c r="W86" s="50"/>
      <c r="Z86"/>
    </row>
    <row r="87" spans="3:29" ht="15" customHeight="1" x14ac:dyDescent="0.15">
      <c r="C87" s="186"/>
      <c r="D87" s="205"/>
      <c r="E87" s="188"/>
      <c r="F87" s="226"/>
      <c r="G87" s="296" t="str">
        <f ca="1">IF(L87="b","",IF(L87="l",0,FIXED(F87,K87,0)&amp;M87))</f>
        <v/>
      </c>
      <c r="H87" s="187"/>
      <c r="I87" s="189"/>
      <c r="K87" s="215"/>
      <c r="L87" t="str">
        <f t="shared" ca="1" si="15"/>
        <v>b</v>
      </c>
      <c r="M87" t="str">
        <f>REPT(" ",3-K87)&amp;IF(K87=0," ","")</f>
        <v xml:space="preserve">    </v>
      </c>
      <c r="O87" s="194"/>
      <c r="P87" s="208">
        <f>IF(ISNUMBER(D87),LOOKUP(D87,$AB$5:$AC$7),D87)</f>
        <v>0</v>
      </c>
      <c r="Q87" s="208">
        <f t="shared" si="16"/>
        <v>0</v>
      </c>
      <c r="R87" s="301" t="str">
        <f t="shared" ca="1" si="17"/>
        <v/>
      </c>
      <c r="S87" s="305">
        <f>H87</f>
        <v>0</v>
      </c>
      <c r="T87" s="150"/>
      <c r="U87" s="216">
        <f ca="1">IF(L87="l","",IF(D87+F87&gt;0,SUM(Z87:AA87),-1))</f>
        <v>-1</v>
      </c>
      <c r="V87" s="395"/>
      <c r="W87" s="107"/>
      <c r="Z87" s="114">
        <f>IF(D87&gt;0,0,TRUNC(F87*T87+Y87*X87))</f>
        <v>0</v>
      </c>
      <c r="AA87" t="b">
        <f>IF($D87=1,SUM(Z$13:Z85)-SUM(AA$13:AA85),IF($D87=2,$AA$6,IF($D87=3,TRUNC($AA$6,-3))))</f>
        <v>0</v>
      </c>
      <c r="AB87">
        <f ca="1">IF(OR(AC$8=0,L86="l",D87&gt;0,U87=-1),0,IF(L86="b",-U87,TRUNC(F86*T87)))</f>
        <v>0</v>
      </c>
      <c r="AC87" t="b">
        <f>IF($D87=1,SUM(AB$13:AB85)-SUM(AC$13:AC85),IF($D87=2,$AA$5,IF($D87=3,TRUNC($AA$5,-3))))</f>
        <v>0</v>
      </c>
    </row>
    <row r="88" spans="3:29" ht="15" customHeight="1" x14ac:dyDescent="0.15">
      <c r="C88" s="182"/>
      <c r="D88" s="210"/>
      <c r="E88" s="184"/>
      <c r="F88" s="227"/>
      <c r="G88" s="297" t="str">
        <f ca="1">IF(OR(AC$8=0,L88="b"),"",IF(L88="l",0,"("&amp;FIXED(-F88,K89,0)&amp;M88))</f>
        <v/>
      </c>
      <c r="H88" s="183"/>
      <c r="I88" s="185"/>
      <c r="L88" t="str">
        <f t="shared" ca="1" si="15"/>
        <v>b</v>
      </c>
      <c r="M88" t="str">
        <f>")"&amp;REPT(" ",2-K89)&amp;IF(K89=0," ","")</f>
        <v xml:space="preserve">)   </v>
      </c>
      <c r="O88" s="194"/>
      <c r="P88" s="207">
        <f>D88</f>
        <v>0</v>
      </c>
      <c r="Q88" s="207">
        <f t="shared" si="16"/>
        <v>0</v>
      </c>
      <c r="R88" s="300" t="str">
        <f t="shared" ca="1" si="17"/>
        <v/>
      </c>
      <c r="S88" s="304"/>
      <c r="T88" s="149"/>
      <c r="U88" s="206">
        <f ca="1">IF(OR(AC$8=0,SUM(Z89:AC89)=0),1,IF(L88="l","",SUM(AB89:AC89)))</f>
        <v>1</v>
      </c>
      <c r="V88" s="394"/>
      <c r="W88" s="50"/>
      <c r="Z88"/>
    </row>
    <row r="89" spans="3:29" ht="15" customHeight="1" x14ac:dyDescent="0.15">
      <c r="C89" s="186"/>
      <c r="D89" s="205"/>
      <c r="E89" s="188"/>
      <c r="F89" s="226"/>
      <c r="G89" s="296" t="str">
        <f ca="1">IF(L89="b","",IF(L89="l",0,FIXED(F89,K89,0)&amp;M89))</f>
        <v/>
      </c>
      <c r="H89" s="187"/>
      <c r="I89" s="189"/>
      <c r="K89" s="215"/>
      <c r="L89" t="str">
        <f t="shared" ca="1" si="15"/>
        <v>b</v>
      </c>
      <c r="M89" t="str">
        <f>REPT(" ",3-K89)&amp;IF(K89=0," ","")</f>
        <v xml:space="preserve">    </v>
      </c>
      <c r="O89" s="194"/>
      <c r="P89" s="208">
        <f>IF(ISNUMBER(D89),LOOKUP(D89,$AB$5:$AC$7),D89)</f>
        <v>0</v>
      </c>
      <c r="Q89" s="208">
        <f t="shared" si="16"/>
        <v>0</v>
      </c>
      <c r="R89" s="301" t="str">
        <f t="shared" ca="1" si="17"/>
        <v/>
      </c>
      <c r="S89" s="305">
        <f>H89</f>
        <v>0</v>
      </c>
      <c r="T89" s="150"/>
      <c r="U89" s="216">
        <f ca="1">IF(L89="l","",IF(D89+F89&gt;0,SUM(Z89:AA89),-1))</f>
        <v>-1</v>
      </c>
      <c r="V89" s="395"/>
      <c r="W89" s="107"/>
      <c r="Z89" s="114">
        <f>IF(D89&gt;0,0,TRUNC(F89*T89+Y89*X89))</f>
        <v>0</v>
      </c>
      <c r="AA89" t="b">
        <f>IF($D89=1,SUM(Z$13:Z87)-SUM(AA$13:AA87),IF($D89=2,$AA$6,IF($D89=3,TRUNC($AA$6,-3))))</f>
        <v>0</v>
      </c>
      <c r="AB89">
        <f ca="1">IF(OR(AC$8=0,L88="l",D89&gt;0,U89=-1),0,IF(L88="b",-U89,TRUNC(F88*T89)))</f>
        <v>0</v>
      </c>
      <c r="AC89" t="b">
        <f>IF($D89=1,SUM(AB$13:AB87)-SUM(AC$13:AC87),IF($D89=2,$AA$5,IF($D89=3,TRUNC($AA$5,-3))))</f>
        <v>0</v>
      </c>
    </row>
    <row r="90" spans="3:29" ht="15" customHeight="1" x14ac:dyDescent="0.15">
      <c r="C90" s="182"/>
      <c r="D90" s="210"/>
      <c r="E90" s="184"/>
      <c r="F90" s="227"/>
      <c r="G90" s="297" t="str">
        <f ca="1">IF(OR(AC$8=0,L90="b"),"",IF(L90="l",0,"("&amp;FIXED(-F90,K91,0)&amp;M90))</f>
        <v/>
      </c>
      <c r="H90" s="183"/>
      <c r="I90" s="185"/>
      <c r="L90" t="str">
        <f t="shared" ca="1" si="15"/>
        <v>b</v>
      </c>
      <c r="M90" t="str">
        <f>")"&amp;REPT(" ",2-K91)&amp;IF(K91=0," ","")</f>
        <v xml:space="preserve">)   </v>
      </c>
      <c r="O90" s="194"/>
      <c r="P90" s="207">
        <f>D90</f>
        <v>0</v>
      </c>
      <c r="Q90" s="207">
        <f t="shared" si="16"/>
        <v>0</v>
      </c>
      <c r="R90" s="300" t="str">
        <f t="shared" ca="1" si="17"/>
        <v/>
      </c>
      <c r="S90" s="304"/>
      <c r="T90" s="149"/>
      <c r="U90" s="206">
        <f ca="1">IF(OR(AC$8=0,SUM(Z91:AC91)=0),1,IF(L90="l","",SUM(AB91:AC91)))</f>
        <v>1</v>
      </c>
      <c r="V90" s="394"/>
      <c r="W90" s="50"/>
      <c r="Z90"/>
    </row>
    <row r="91" spans="3:29" ht="15" customHeight="1" x14ac:dyDescent="0.15">
      <c r="C91" s="186"/>
      <c r="D91" s="205"/>
      <c r="E91" s="188"/>
      <c r="F91" s="226"/>
      <c r="G91" s="296" t="str">
        <f ca="1">IF(L91="b","",IF(L91="l",0,FIXED(F91,K91,0)&amp;M91))</f>
        <v/>
      </c>
      <c r="H91" s="187"/>
      <c r="I91" s="189"/>
      <c r="K91" s="215"/>
      <c r="L91" t="str">
        <f t="shared" ca="1" si="15"/>
        <v>b</v>
      </c>
      <c r="M91" t="str">
        <f>REPT(" ",3-K91)&amp;IF(K91=0," ","")</f>
        <v xml:space="preserve">    </v>
      </c>
      <c r="O91" s="194"/>
      <c r="P91" s="208">
        <f>IF(ISNUMBER(D91),LOOKUP(D91,$AB$5:$AC$7),D91)</f>
        <v>0</v>
      </c>
      <c r="Q91" s="208">
        <f t="shared" si="16"/>
        <v>0</v>
      </c>
      <c r="R91" s="301" t="str">
        <f t="shared" ca="1" si="17"/>
        <v/>
      </c>
      <c r="S91" s="305">
        <f>H91</f>
        <v>0</v>
      </c>
      <c r="T91" s="150"/>
      <c r="U91" s="216">
        <f ca="1">IF(L91="l","",IF(D91+F91&gt;0,SUM(Z91:AA91),-1))</f>
        <v>-1</v>
      </c>
      <c r="V91" s="395"/>
      <c r="W91" s="107"/>
      <c r="Z91" s="114">
        <f>IF(D91&gt;0,0,TRUNC(F91*T91+Y91*X91))</f>
        <v>0</v>
      </c>
      <c r="AA91" t="b">
        <f>IF($D91=1,SUM(Z$13:Z89)-SUM(AA$13:AA89),IF($D91=2,$AA$6,IF($D91=3,TRUNC($AA$6,-3))))</f>
        <v>0</v>
      </c>
      <c r="AB91">
        <f ca="1">IF(OR(AC$8=0,L90="l",D91&gt;0,U91=-1),0,IF(L90="b",-U91,TRUNC(F90*T91)))</f>
        <v>0</v>
      </c>
      <c r="AC91" t="b">
        <f>IF($D91=1,SUM(AB$13:AB89)-SUM(AC$13:AC89),IF($D91=2,$AA$5,IF($D91=3,TRUNC($AA$5,-3))))</f>
        <v>0</v>
      </c>
    </row>
    <row r="92" spans="3:29" ht="15" customHeight="1" x14ac:dyDescent="0.15">
      <c r="C92" s="182"/>
      <c r="D92" s="210"/>
      <c r="E92" s="184"/>
      <c r="F92" s="227"/>
      <c r="G92" s="297" t="str">
        <f ca="1">IF(OR(AC$8=0,L92="b"),"",IF(L92="l",0,"("&amp;FIXED(-F92,K93,0)&amp;M92))</f>
        <v/>
      </c>
      <c r="H92" s="183"/>
      <c r="I92" s="185"/>
      <c r="L92" t="str">
        <f t="shared" ca="1" si="15"/>
        <v>b</v>
      </c>
      <c r="M92" t="str">
        <f>")"&amp;REPT(" ",2-K93)&amp;IF(K93=0," ","")</f>
        <v xml:space="preserve">)   </v>
      </c>
      <c r="O92" s="194"/>
      <c r="P92" s="207">
        <f>D92</f>
        <v>0</v>
      </c>
      <c r="Q92" s="207">
        <f t="shared" si="16"/>
        <v>0</v>
      </c>
      <c r="R92" s="300" t="str">
        <f t="shared" ca="1" si="17"/>
        <v/>
      </c>
      <c r="S92" s="304"/>
      <c r="T92" s="149"/>
      <c r="U92" s="206">
        <f ca="1">IF(OR(AC$8=0,SUM(Z93:AC93)=0),1,IF(L92="l","",SUM(AB93:AC93)))</f>
        <v>1</v>
      </c>
      <c r="V92" s="394"/>
      <c r="W92" s="50"/>
      <c r="Z92"/>
    </row>
    <row r="93" spans="3:29" ht="15" customHeight="1" x14ac:dyDescent="0.15">
      <c r="C93" s="186"/>
      <c r="D93" s="205"/>
      <c r="E93" s="188"/>
      <c r="F93" s="226"/>
      <c r="G93" s="296" t="str">
        <f ca="1">IF(L93="b","",IF(L93="l",0,FIXED(F93,K93,0)&amp;M93))</f>
        <v/>
      </c>
      <c r="H93" s="187"/>
      <c r="I93" s="189"/>
      <c r="K93" s="215"/>
      <c r="L93" t="str">
        <f t="shared" ca="1" si="15"/>
        <v>b</v>
      </c>
      <c r="M93" t="str">
        <f>REPT(" ",3-K93)&amp;IF(K93=0," ","")</f>
        <v xml:space="preserve">    </v>
      </c>
      <c r="O93" s="194"/>
      <c r="P93" s="208">
        <f>IF(ISNUMBER(D93),LOOKUP(D93,$AB$5:$AC$7),D93)</f>
        <v>0</v>
      </c>
      <c r="Q93" s="208">
        <f t="shared" si="16"/>
        <v>0</v>
      </c>
      <c r="R93" s="301" t="str">
        <f t="shared" ca="1" si="17"/>
        <v/>
      </c>
      <c r="S93" s="305">
        <f>H93</f>
        <v>0</v>
      </c>
      <c r="T93" s="150"/>
      <c r="U93" s="216">
        <f ca="1">IF(L93="l","",IF(D93+F93&gt;0,SUM(Z93:AA93),-1))</f>
        <v>-1</v>
      </c>
      <c r="V93" s="395"/>
      <c r="W93" s="107"/>
      <c r="Z93" s="114">
        <f>IF(D93&gt;0,0,TRUNC(F93*T93+Y93*X93))</f>
        <v>0</v>
      </c>
      <c r="AA93" t="b">
        <f>IF($D93=1,SUM(Z$13:Z91)-SUM(AA$13:AA91),IF($D93=2,$AA$6,IF($D93=3,TRUNC($AA$6,-3))))</f>
        <v>0</v>
      </c>
      <c r="AB93">
        <f ca="1">IF(OR(AC$8=0,L92="l",D93&gt;0,U93=-1),0,IF(L92="b",-U93,TRUNC(F92*T93)))</f>
        <v>0</v>
      </c>
      <c r="AC93" t="b">
        <f>IF($D93=1,SUM(AB$13:AB91)-SUM(AC$13:AC91),IF($D93=2,$AA$5,IF($D93=3,TRUNC($AA$5,-3))))</f>
        <v>0</v>
      </c>
    </row>
    <row r="94" spans="3:29" ht="15" customHeight="1" x14ac:dyDescent="0.15">
      <c r="C94" s="182"/>
      <c r="D94" s="210"/>
      <c r="E94" s="184"/>
      <c r="F94" s="227"/>
      <c r="G94" s="297" t="str">
        <f ca="1">IF(OR(AC$8=0,L94="b"),"",IF(L94="l",0,"("&amp;FIXED(-F94,K95,0)&amp;M94))</f>
        <v/>
      </c>
      <c r="H94" s="183"/>
      <c r="I94" s="185"/>
      <c r="L94" t="str">
        <f t="shared" ca="1" si="15"/>
        <v>b</v>
      </c>
      <c r="M94" t="str">
        <f>")"&amp;REPT(" ",2-K95)&amp;IF(K95=0," ","")</f>
        <v xml:space="preserve">)   </v>
      </c>
      <c r="O94" s="194"/>
      <c r="P94" s="207">
        <f>D94</f>
        <v>0</v>
      </c>
      <c r="Q94" s="207">
        <f t="shared" si="16"/>
        <v>0</v>
      </c>
      <c r="R94" s="300" t="str">
        <f t="shared" ca="1" si="17"/>
        <v/>
      </c>
      <c r="S94" s="304"/>
      <c r="T94" s="149"/>
      <c r="U94" s="206">
        <f ca="1">IF(OR(AC$8=0,SUM(Z95:AC95)=0),1,IF(L94="l","",SUM(AB95:AC95)))</f>
        <v>1</v>
      </c>
      <c r="V94" s="394"/>
      <c r="W94" s="50"/>
      <c r="Z94"/>
    </row>
    <row r="95" spans="3:29" ht="15" customHeight="1" x14ac:dyDescent="0.15">
      <c r="C95" s="186"/>
      <c r="D95" s="205"/>
      <c r="E95" s="188"/>
      <c r="F95" s="226"/>
      <c r="G95" s="296" t="str">
        <f ca="1">IF(L95="b","",IF(L95="l",0,FIXED(F95,K95,0)&amp;M95))</f>
        <v/>
      </c>
      <c r="H95" s="187"/>
      <c r="I95" s="189"/>
      <c r="K95" s="215"/>
      <c r="L95" t="str">
        <f t="shared" ca="1" si="15"/>
        <v>b</v>
      </c>
      <c r="M95" t="str">
        <f>REPT(" ",3-K95)&amp;IF(K95=0," ","")</f>
        <v xml:space="preserve">    </v>
      </c>
      <c r="O95" s="194"/>
      <c r="P95" s="208">
        <f>IF(ISNUMBER(D95),LOOKUP(D95,$AB$5:$AC$7),D95)</f>
        <v>0</v>
      </c>
      <c r="Q95" s="208">
        <f t="shared" si="16"/>
        <v>0</v>
      </c>
      <c r="R95" s="301" t="str">
        <f t="shared" ca="1" si="17"/>
        <v/>
      </c>
      <c r="S95" s="305">
        <f>H95</f>
        <v>0</v>
      </c>
      <c r="T95" s="150"/>
      <c r="U95" s="216">
        <f ca="1">IF(L95="l","",IF(D95+F95&gt;0,SUM(Z95:AA95),-1))</f>
        <v>-1</v>
      </c>
      <c r="V95" s="395"/>
      <c r="W95" s="107"/>
      <c r="Z95" s="114">
        <f>IF(D95&gt;0,0,TRUNC(F95*T95+Y95*X95))</f>
        <v>0</v>
      </c>
      <c r="AA95" t="b">
        <f>IF($D95=1,SUM(Z$13:Z93)-SUM(AA$13:AA93),IF($D95=2,$AA$6,IF($D95=3,TRUNC($AA$6,-3))))</f>
        <v>0</v>
      </c>
      <c r="AB95">
        <f ca="1">IF(OR(AC$8=0,L94="l",D95&gt;0,U95=-1),0,IF(L94="b",-U95,TRUNC(F94*T95)))</f>
        <v>0</v>
      </c>
      <c r="AC95" t="b">
        <f>IF($D95=1,SUM(AB$13:AB93)-SUM(AC$13:AC93),IF($D95=2,$AA$5,IF($D95=3,TRUNC($AA$5,-3))))</f>
        <v>0</v>
      </c>
    </row>
    <row r="96" spans="3:29" ht="15" customHeight="1" x14ac:dyDescent="0.15">
      <c r="C96" s="182"/>
      <c r="D96" s="210"/>
      <c r="E96" s="184"/>
      <c r="F96" s="227"/>
      <c r="G96" s="297" t="str">
        <f ca="1">IF(OR(AC$8=0,L96="b"),"",IF(L96="l",0,"("&amp;FIXED(-F96,K97,0)&amp;M96))</f>
        <v/>
      </c>
      <c r="H96" s="183"/>
      <c r="I96" s="185"/>
      <c r="L96" t="str">
        <f t="shared" ca="1" si="15"/>
        <v>b</v>
      </c>
      <c r="M96" t="str">
        <f>")"&amp;REPT(" ",2-K97)&amp;IF(K97=0," ","")</f>
        <v xml:space="preserve">)   </v>
      </c>
      <c r="O96" s="194"/>
      <c r="P96" s="207">
        <f>D96</f>
        <v>0</v>
      </c>
      <c r="Q96" s="207">
        <f t="shared" si="16"/>
        <v>0</v>
      </c>
      <c r="R96" s="300" t="str">
        <f t="shared" ca="1" si="17"/>
        <v/>
      </c>
      <c r="S96" s="304"/>
      <c r="T96" s="149"/>
      <c r="U96" s="206">
        <f ca="1">IF(OR(AC$8=0,SUM(Z97:AC97)=0),1,IF(L96="l","",SUM(AB97:AC97)))</f>
        <v>1</v>
      </c>
      <c r="V96" s="394"/>
      <c r="W96" s="50"/>
      <c r="Z96"/>
    </row>
    <row r="97" spans="3:29" ht="15" customHeight="1" x14ac:dyDescent="0.15">
      <c r="C97" s="186"/>
      <c r="D97" s="205"/>
      <c r="E97" s="188"/>
      <c r="F97" s="226"/>
      <c r="G97" s="296" t="str">
        <f ca="1">IF(L97="b","",IF(L97="l",0,FIXED(F97,K97,0)&amp;M97))</f>
        <v/>
      </c>
      <c r="H97" s="187"/>
      <c r="I97" s="189"/>
      <c r="K97" s="215"/>
      <c r="L97" t="str">
        <f t="shared" ca="1" si="15"/>
        <v>b</v>
      </c>
      <c r="M97" t="str">
        <f>REPT(" ",3-K97)&amp;IF(K97=0," ","")</f>
        <v xml:space="preserve">    </v>
      </c>
      <c r="O97" s="194"/>
      <c r="P97" s="208">
        <f>IF(ISNUMBER(D97),LOOKUP(D97,$AB$5:$AC$7),D97)</f>
        <v>0</v>
      </c>
      <c r="Q97" s="208">
        <f t="shared" si="16"/>
        <v>0</v>
      </c>
      <c r="R97" s="301" t="str">
        <f t="shared" ca="1" si="17"/>
        <v/>
      </c>
      <c r="S97" s="305">
        <f>H97</f>
        <v>0</v>
      </c>
      <c r="T97" s="150"/>
      <c r="U97" s="216">
        <f ca="1">IF(L97="l","",IF(D97+F97&gt;0,SUM(Z97:AA97),-1))</f>
        <v>-1</v>
      </c>
      <c r="V97" s="395"/>
      <c r="W97" s="107"/>
      <c r="Z97" s="114">
        <f>IF(D97&gt;0,0,TRUNC(F97*T97+Y97*X97))</f>
        <v>0</v>
      </c>
      <c r="AA97" t="b">
        <f>IF($D97=1,SUM(Z$13:Z95)-SUM(AA$13:AA95),IF($D97=2,$AA$6,IF($D97=3,TRUNC($AA$6,-3))))</f>
        <v>0</v>
      </c>
      <c r="AB97">
        <f ca="1">IF(OR(AC$8=0,L96="l",D97&gt;0,U97=-1),0,IF(L96="b",-U97,TRUNC(F96*T97)))</f>
        <v>0</v>
      </c>
      <c r="AC97" t="b">
        <f>IF($D97=1,SUM(AB$13:AB95)-SUM(AC$13:AC95),IF($D97=2,$AA$5,IF($D97=3,TRUNC($AA$5,-3))))</f>
        <v>0</v>
      </c>
    </row>
    <row r="98" spans="3:29" ht="15" customHeight="1" x14ac:dyDescent="0.15">
      <c r="C98" s="182"/>
      <c r="D98" s="210"/>
      <c r="E98" s="184"/>
      <c r="F98" s="227"/>
      <c r="G98" s="297" t="str">
        <f ca="1">IF(OR(AC$8=0,L98="b"),"",IF(L98="l",0,"("&amp;FIXED(-F98,K99,0)&amp;M98))</f>
        <v/>
      </c>
      <c r="H98" s="183"/>
      <c r="I98" s="185"/>
      <c r="L98" t="str">
        <f t="shared" ca="1" si="15"/>
        <v>b</v>
      </c>
      <c r="M98" t="str">
        <f>")"&amp;REPT(" ",2-K99)&amp;IF(K99=0," ","")</f>
        <v xml:space="preserve">)   </v>
      </c>
      <c r="O98" s="194"/>
      <c r="P98" s="207">
        <f>D98</f>
        <v>0</v>
      </c>
      <c r="Q98" s="207">
        <f t="shared" si="16"/>
        <v>0</v>
      </c>
      <c r="R98" s="300" t="str">
        <f t="shared" ca="1" si="17"/>
        <v/>
      </c>
      <c r="S98" s="304"/>
      <c r="T98" s="149"/>
      <c r="U98" s="206">
        <f ca="1">IF(OR(AC$8=0,SUM(Z99:AC99)=0),1,IF(L98="l","",SUM(AB99:AC99)))</f>
        <v>1</v>
      </c>
      <c r="V98" s="394"/>
      <c r="W98" s="50"/>
      <c r="Z98"/>
    </row>
    <row r="99" spans="3:29" ht="15" customHeight="1" x14ac:dyDescent="0.15">
      <c r="C99" s="186"/>
      <c r="D99" s="205"/>
      <c r="E99" s="188"/>
      <c r="F99" s="226"/>
      <c r="G99" s="296" t="str">
        <f ca="1">IF(L99="b","",IF(L99="l",0,FIXED(F99,K99,0)&amp;M99))</f>
        <v/>
      </c>
      <c r="H99" s="187"/>
      <c r="I99" s="189"/>
      <c r="K99" s="215"/>
      <c r="L99" t="str">
        <f t="shared" ca="1" si="15"/>
        <v>b</v>
      </c>
      <c r="M99" t="str">
        <f>REPT(" ",3-K99)&amp;IF(K99=0," ","")</f>
        <v xml:space="preserve">    </v>
      </c>
      <c r="O99" s="194"/>
      <c r="P99" s="208">
        <f>IF(ISNUMBER(D99),LOOKUP(D99,$AB$5:$AC$7),D99)</f>
        <v>0</v>
      </c>
      <c r="Q99" s="208">
        <f t="shared" si="16"/>
        <v>0</v>
      </c>
      <c r="R99" s="301" t="str">
        <f t="shared" ca="1" si="17"/>
        <v/>
      </c>
      <c r="S99" s="305">
        <f>H99</f>
        <v>0</v>
      </c>
      <c r="T99" s="150"/>
      <c r="U99" s="216">
        <f ca="1">IF(L99="l","",IF(D99+F99&gt;0,SUM(Z99:AA99),-1))</f>
        <v>-1</v>
      </c>
      <c r="V99" s="395"/>
      <c r="W99" s="107"/>
      <c r="Z99" s="114">
        <f>IF(D99&gt;0,0,TRUNC(F99*T99+Y99*X99))</f>
        <v>0</v>
      </c>
      <c r="AA99" t="b">
        <f>IF($D99=1,SUM(Z$13:Z97)-SUM(AA$13:AA97),IF($D99=2,$AA$6,IF($D99=3,TRUNC($AA$6,-3))))</f>
        <v>0</v>
      </c>
      <c r="AB99">
        <f ca="1">IF(OR(AC$8=0,L98="l",D99&gt;0,U99=-1),0,IF(L98="b",-U99,TRUNC(F98*T99)))</f>
        <v>0</v>
      </c>
      <c r="AC99" t="b">
        <f>IF($D99=1,SUM(AB$13:AB97)-SUM(AC$13:AC97),IF($D99=2,$AA$5,IF($D99=3,TRUNC($AA$5,-3))))</f>
        <v>0</v>
      </c>
    </row>
    <row r="100" spans="3:29" ht="15" customHeight="1" x14ac:dyDescent="0.15">
      <c r="C100" s="182"/>
      <c r="D100" s="210"/>
      <c r="E100" s="184"/>
      <c r="F100" s="227"/>
      <c r="G100" s="297" t="str">
        <f ca="1">IF(OR(AC$8=0,L100="b"),"",IF(L100="l",0,"("&amp;FIXED(-F100,K101,0)&amp;M100))</f>
        <v/>
      </c>
      <c r="H100" s="183"/>
      <c r="I100" s="185"/>
      <c r="L100" t="str">
        <f t="shared" ca="1" si="15"/>
        <v>b</v>
      </c>
      <c r="M100" t="str">
        <f>")"&amp;REPT(" ",2-K101)&amp;IF(K101=0," ","")</f>
        <v xml:space="preserve">)   </v>
      </c>
      <c r="O100" s="194"/>
      <c r="P100" s="207">
        <f>D100</f>
        <v>0</v>
      </c>
      <c r="Q100" s="207">
        <f t="shared" si="16"/>
        <v>0</v>
      </c>
      <c r="R100" s="300" t="str">
        <f t="shared" ca="1" si="17"/>
        <v/>
      </c>
      <c r="S100" s="304"/>
      <c r="T100" s="149"/>
      <c r="U100" s="206">
        <f ca="1">IF(OR(AC$8=0,SUM(Z101:AC101)=0),1,IF(L100="l","",SUM(AB101:AC101)))</f>
        <v>1</v>
      </c>
      <c r="V100" s="394"/>
      <c r="W100" s="50"/>
      <c r="Z100"/>
    </row>
    <row r="101" spans="3:29" ht="15" customHeight="1" x14ac:dyDescent="0.15">
      <c r="C101" s="186"/>
      <c r="D101" s="205"/>
      <c r="E101" s="188"/>
      <c r="F101" s="226"/>
      <c r="G101" s="296" t="str">
        <f ca="1">IF(L101="b","",IF(L101="l",0,FIXED(F101,K101,0)&amp;M101))</f>
        <v/>
      </c>
      <c r="H101" s="187"/>
      <c r="I101" s="189"/>
      <c r="K101" s="215"/>
      <c r="L101" t="str">
        <f t="shared" ca="1" si="15"/>
        <v>b</v>
      </c>
      <c r="M101" t="str">
        <f>REPT(" ",3-K101)&amp;IF(K101=0," ","")</f>
        <v xml:space="preserve">    </v>
      </c>
      <c r="O101" s="194"/>
      <c r="P101" s="208">
        <f>IF(ISNUMBER(D101),LOOKUP(D101,$AB$5:$AC$7),D101)</f>
        <v>0</v>
      </c>
      <c r="Q101" s="208">
        <f t="shared" si="16"/>
        <v>0</v>
      </c>
      <c r="R101" s="301" t="str">
        <f t="shared" ca="1" si="17"/>
        <v/>
      </c>
      <c r="S101" s="305">
        <f>H101</f>
        <v>0</v>
      </c>
      <c r="T101" s="150"/>
      <c r="U101" s="216">
        <f ca="1">IF(L101="l","",IF(D101+F101&gt;0,SUM(Z101:AA101),-1))</f>
        <v>-1</v>
      </c>
      <c r="V101" s="395"/>
      <c r="W101" s="107"/>
      <c r="Z101" s="114">
        <f>IF(D101&gt;0,0,TRUNC(F101*T101+Y101*X101))</f>
        <v>0</v>
      </c>
      <c r="AA101" t="b">
        <f>IF($D101=1,SUM(Z$13:Z99)-SUM(AA$13:AA99),IF($D101=2,$AA$6,IF($D101=3,TRUNC($AA$6,-3))))</f>
        <v>0</v>
      </c>
      <c r="AB101">
        <f ca="1">IF(OR(AC$8=0,L100="l",D101&gt;0,U101=-1),0,IF(L100="b",-U101,TRUNC(F100*T101)))</f>
        <v>0</v>
      </c>
      <c r="AC101" t="b">
        <f>IF($D101=1,SUM(AB$13:AB99)-SUM(AC$13:AC99),IF($D101=2,$AA$5,IF($D101=3,TRUNC($AA$5,-3))))</f>
        <v>0</v>
      </c>
    </row>
    <row r="102" spans="3:29" ht="15" customHeight="1" x14ac:dyDescent="0.15">
      <c r="C102" s="182"/>
      <c r="D102" s="210"/>
      <c r="E102" s="184"/>
      <c r="F102" s="227"/>
      <c r="G102" s="297" t="str">
        <f ca="1">IF(OR(AC$8=0,L102="b"),"",IF(L102="l",0,"("&amp;FIXED(-F102,K103,0)&amp;M102))</f>
        <v/>
      </c>
      <c r="H102" s="183"/>
      <c r="I102" s="185"/>
      <c r="L102" t="str">
        <f t="shared" ca="1" si="15"/>
        <v>b</v>
      </c>
      <c r="M102" t="str">
        <f>")"&amp;REPT(" ",2-K103)&amp;IF(K103=0," ","")</f>
        <v xml:space="preserve">)   </v>
      </c>
      <c r="O102" s="194"/>
      <c r="P102" s="207">
        <f>D102</f>
        <v>0</v>
      </c>
      <c r="Q102" s="207">
        <f t="shared" si="16"/>
        <v>0</v>
      </c>
      <c r="R102" s="300" t="str">
        <f t="shared" ca="1" si="17"/>
        <v/>
      </c>
      <c r="S102" s="304"/>
      <c r="T102" s="149"/>
      <c r="U102" s="206">
        <f ca="1">IF(OR(AC$8=0,SUM(Z103:AC103)=0),1,IF(L102="l","",SUM(AB103:AC103)))</f>
        <v>1</v>
      </c>
      <c r="V102" s="394"/>
      <c r="W102" s="50"/>
      <c r="Z102"/>
    </row>
    <row r="103" spans="3:29" ht="15" customHeight="1" x14ac:dyDescent="0.15">
      <c r="C103" s="186"/>
      <c r="D103" s="205"/>
      <c r="E103" s="188"/>
      <c r="F103" s="226"/>
      <c r="G103" s="296" t="str">
        <f ca="1">IF(L103="b","",IF(L103="l",0,FIXED(F103,K103,0)&amp;M103))</f>
        <v/>
      </c>
      <c r="H103" s="187"/>
      <c r="I103" s="189"/>
      <c r="K103" s="215"/>
      <c r="L103" t="str">
        <f t="shared" ca="1" si="15"/>
        <v>b</v>
      </c>
      <c r="M103" t="str">
        <f>REPT(" ",3-K103)&amp;IF(K103=0," ","")</f>
        <v xml:space="preserve">    </v>
      </c>
      <c r="O103" s="194"/>
      <c r="P103" s="208">
        <f>IF(ISNUMBER(D103),LOOKUP(D103,$AB$5:$AC$7),D103)</f>
        <v>0</v>
      </c>
      <c r="Q103" s="208">
        <f t="shared" si="16"/>
        <v>0</v>
      </c>
      <c r="R103" s="301" t="str">
        <f t="shared" ca="1" si="17"/>
        <v/>
      </c>
      <c r="S103" s="305">
        <f>H103</f>
        <v>0</v>
      </c>
      <c r="T103" s="150"/>
      <c r="U103" s="216">
        <f ca="1">IF(L103="l","",IF(D103+F103&gt;0,SUM(Z103:AA103),-1))</f>
        <v>-1</v>
      </c>
      <c r="V103" s="395"/>
      <c r="W103" s="107"/>
      <c r="Z103" s="114">
        <f>IF(D103&gt;0,0,TRUNC(F103*T103+Y103*X103))</f>
        <v>0</v>
      </c>
      <c r="AA103" t="b">
        <f>IF($D103=1,SUM(Z$13:Z101)-SUM(AA$13:AA101),IF($D103=2,$AA$6,IF($D103=3,TRUNC($AA$6,-3))))</f>
        <v>0</v>
      </c>
      <c r="AB103">
        <f ca="1">IF(OR(AC$8=0,L102="l",D103&gt;0,U103=-1),0,IF(L102="b",-U103,TRUNC(F102*T103)))</f>
        <v>0</v>
      </c>
      <c r="AC103" t="b">
        <f>IF($D103=1,SUM(AB$13:AB101)-SUM(AC$13:AC101),IF($D103=2,$AA$5,IF($D103=3,TRUNC($AA$5,-3))))</f>
        <v>0</v>
      </c>
    </row>
    <row r="104" spans="3:29" ht="15" customHeight="1" x14ac:dyDescent="0.15">
      <c r="C104" s="182"/>
      <c r="D104" s="210"/>
      <c r="E104" s="184"/>
      <c r="F104" s="227"/>
      <c r="G104" s="297" t="str">
        <f ca="1">IF(OR(AC$8=0,L104="b"),"",IF(L104="l",0,"("&amp;FIXED(-F104,K105,0)&amp;M104))</f>
        <v/>
      </c>
      <c r="H104" s="183"/>
      <c r="I104" s="185"/>
      <c r="L104" t="str">
        <f t="shared" ca="1" si="15"/>
        <v>b</v>
      </c>
      <c r="M104" t="str">
        <f>")"&amp;REPT(" ",2-K105)&amp;IF(K105=0," ","")</f>
        <v xml:space="preserve">)   </v>
      </c>
      <c r="O104" s="194"/>
      <c r="P104" s="207">
        <f>D104</f>
        <v>0</v>
      </c>
      <c r="Q104" s="207">
        <f t="shared" si="16"/>
        <v>0</v>
      </c>
      <c r="R104" s="300" t="str">
        <f t="shared" ca="1" si="17"/>
        <v/>
      </c>
      <c r="S104" s="304"/>
      <c r="T104" s="149"/>
      <c r="U104" s="206">
        <f ca="1">IF(OR(AC$8=0,SUM(Z105:AC105)=0),1,IF(L104="l","",SUM(AB105:AC105)))</f>
        <v>1</v>
      </c>
      <c r="V104" s="394"/>
      <c r="W104" s="50"/>
      <c r="Z104"/>
    </row>
    <row r="105" spans="3:29" ht="15" customHeight="1" x14ac:dyDescent="0.15">
      <c r="C105" s="186"/>
      <c r="D105" s="205"/>
      <c r="E105" s="188"/>
      <c r="F105" s="226"/>
      <c r="G105" s="296" t="str">
        <f ca="1">IF(L105="b","",IF(L105="l",0,FIXED(F105,K105,0)&amp;M105))</f>
        <v/>
      </c>
      <c r="H105" s="187"/>
      <c r="I105" s="189"/>
      <c r="K105" s="215"/>
      <c r="L105" t="str">
        <f t="shared" ca="1" si="15"/>
        <v>b</v>
      </c>
      <c r="M105" t="str">
        <f>REPT(" ",3-K105)&amp;IF(K105=0," ","")</f>
        <v xml:space="preserve">    </v>
      </c>
      <c r="O105" s="194"/>
      <c r="P105" s="208">
        <f>IF(ISNUMBER(D105),LOOKUP(D105,$AB$5:$AC$7),D105)</f>
        <v>0</v>
      </c>
      <c r="Q105" s="208">
        <f t="shared" si="16"/>
        <v>0</v>
      </c>
      <c r="R105" s="301" t="str">
        <f t="shared" ca="1" si="17"/>
        <v/>
      </c>
      <c r="S105" s="305">
        <f>H105</f>
        <v>0</v>
      </c>
      <c r="T105" s="150"/>
      <c r="U105" s="216">
        <f ca="1">IF(L105="l","",IF(D105+F105&gt;0,SUM(Z105:AA105),-1))</f>
        <v>-1</v>
      </c>
      <c r="V105" s="395"/>
      <c r="W105" s="107"/>
      <c r="Z105" s="114">
        <f>IF(D105&gt;0,0,TRUNC(F105*T105+Y105*X105))</f>
        <v>0</v>
      </c>
      <c r="AA105" t="b">
        <f>IF($D105=1,SUM(Z$13:Z103)-SUM(AA$13:AA103),IF($D105=2,$AA$6,IF($D105=3,TRUNC($AA$6,-3))))</f>
        <v>0</v>
      </c>
      <c r="AB105">
        <f ca="1">IF(OR(AC$8=0,L104="l",D105&gt;0,U105=-1),0,IF(L104="b",-U105,TRUNC(F104*T105)))</f>
        <v>0</v>
      </c>
      <c r="AC105" t="b">
        <f>IF($D105=1,SUM(AB$13:AB103)-SUM(AC$13:AC103),IF($D105=2,$AA$5,IF($D105=3,TRUNC($AA$5,-3))))</f>
        <v>0</v>
      </c>
    </row>
    <row r="106" spans="3:29" ht="15" customHeight="1" x14ac:dyDescent="0.15">
      <c r="C106" s="182"/>
      <c r="D106" s="210"/>
      <c r="E106" s="184"/>
      <c r="F106" s="227"/>
      <c r="G106" s="297" t="str">
        <f ca="1">IF(OR(AC$8=0,L106="b"),"",IF(L106="l",0,"("&amp;FIXED(-F106,K107,0)&amp;M106))</f>
        <v/>
      </c>
      <c r="H106" s="183"/>
      <c r="I106" s="185"/>
      <c r="L106" t="str">
        <f t="shared" ca="1" si="15"/>
        <v>b</v>
      </c>
      <c r="M106" t="str">
        <f>")"&amp;REPT(" ",2-K107)&amp;IF(K107=0," ","")</f>
        <v xml:space="preserve">)   </v>
      </c>
      <c r="O106" s="194"/>
      <c r="P106" s="207">
        <f>D106</f>
        <v>0</v>
      </c>
      <c r="Q106" s="207">
        <f t="shared" si="16"/>
        <v>0</v>
      </c>
      <c r="R106" s="300" t="str">
        <f t="shared" ca="1" si="17"/>
        <v/>
      </c>
      <c r="S106" s="304"/>
      <c r="T106" s="149"/>
      <c r="U106" s="206">
        <f ca="1">IF(OR(AC$8=0,SUM(Z107:AC107)=0),1,IF(L106="l","",SUM(AB107:AC107)))</f>
        <v>1</v>
      </c>
      <c r="V106" s="394"/>
      <c r="W106" s="50"/>
      <c r="Z106"/>
    </row>
    <row r="107" spans="3:29" ht="15" customHeight="1" x14ac:dyDescent="0.15">
      <c r="C107" s="186"/>
      <c r="D107" s="205"/>
      <c r="E107" s="188"/>
      <c r="F107" s="226"/>
      <c r="G107" s="296" t="str">
        <f ca="1">IF(L107="b","",IF(L107="l",0,FIXED(F107,K107,0)&amp;M107))</f>
        <v/>
      </c>
      <c r="H107" s="187"/>
      <c r="I107" s="189"/>
      <c r="K107" s="215"/>
      <c r="L107" t="str">
        <f t="shared" ca="1" si="15"/>
        <v>b</v>
      </c>
      <c r="M107" t="str">
        <f>REPT(" ",3-K107)&amp;IF(K107=0," ","")</f>
        <v xml:space="preserve">    </v>
      </c>
      <c r="O107" s="194"/>
      <c r="P107" s="208">
        <f>IF(ISNUMBER(D107),LOOKUP(D107,$AB$5:$AC$7),D107)</f>
        <v>0</v>
      </c>
      <c r="Q107" s="208">
        <f t="shared" si="16"/>
        <v>0</v>
      </c>
      <c r="R107" s="301" t="str">
        <f t="shared" ca="1" si="17"/>
        <v/>
      </c>
      <c r="S107" s="305">
        <f>H107</f>
        <v>0</v>
      </c>
      <c r="T107" s="150"/>
      <c r="U107" s="216">
        <f ca="1">IF(L107="l","",IF(D107+F107&gt;0,SUM(Z107:AA107),-1))</f>
        <v>-1</v>
      </c>
      <c r="V107" s="395"/>
      <c r="W107" s="107"/>
      <c r="Z107" s="114">
        <f>IF(D107&gt;0,0,TRUNC(F107*T107+Y107*X107))</f>
        <v>0</v>
      </c>
      <c r="AA107" t="b">
        <f>IF($D107=1,SUM(Z$13:Z105)-SUM(AA$13:AA105),IF($D107=2,$AA$6,IF($D107=3,TRUNC($AA$6,-3))))</f>
        <v>0</v>
      </c>
      <c r="AB107">
        <f ca="1">IF(OR(AC$8=0,L106="l",D107&gt;0,U107=-1),0,IF(L106="b",-U107,TRUNC(F106*T107)))</f>
        <v>0</v>
      </c>
      <c r="AC107" t="b">
        <f>IF($D107=1,SUM(AB$13:AB105)-SUM(AC$13:AC105),IF($D107=2,$AA$5,IF($D107=3,TRUNC($AA$5,-3))))</f>
        <v>0</v>
      </c>
    </row>
    <row r="108" spans="3:29" ht="15" customHeight="1" x14ac:dyDescent="0.15">
      <c r="C108" s="182"/>
      <c r="D108" s="210"/>
      <c r="E108" s="184"/>
      <c r="F108" s="227"/>
      <c r="G108" s="297" t="str">
        <f ca="1">IF(OR(AC$8=0,L108="b"),"",IF(L108="l",0,"("&amp;FIXED(-F108,K109,0)&amp;M108))</f>
        <v/>
      </c>
      <c r="H108" s="183"/>
      <c r="I108" s="185"/>
      <c r="L108" t="str">
        <f t="shared" ca="1" si="15"/>
        <v>b</v>
      </c>
      <c r="M108" t="str">
        <f>")"&amp;REPT(" ",2-K109)&amp;IF(K109=0," ","")</f>
        <v xml:space="preserve">)   </v>
      </c>
      <c r="O108" s="194"/>
      <c r="P108" s="207">
        <f>D108</f>
        <v>0</v>
      </c>
      <c r="Q108" s="207">
        <f t="shared" si="16"/>
        <v>0</v>
      </c>
      <c r="R108" s="300" t="str">
        <f t="shared" ca="1" si="17"/>
        <v/>
      </c>
      <c r="S108" s="304"/>
      <c r="T108" s="149"/>
      <c r="U108" s="206">
        <f ca="1">IF(OR(AC$8=0,SUM(Z109:AC109)=0),1,IF(L108="l","",SUM(AB109:AC109)))</f>
        <v>1</v>
      </c>
      <c r="V108" s="394"/>
      <c r="W108" s="50"/>
      <c r="Z108"/>
    </row>
    <row r="109" spans="3:29" ht="15" customHeight="1" x14ac:dyDescent="0.15">
      <c r="C109" s="186"/>
      <c r="D109" s="205"/>
      <c r="E109" s="188"/>
      <c r="F109" s="226"/>
      <c r="G109" s="296" t="str">
        <f ca="1">IF(L109="b","",IF(L109="l",0,FIXED(F109,K109,0)&amp;M109))</f>
        <v/>
      </c>
      <c r="H109" s="187"/>
      <c r="I109" s="189"/>
      <c r="K109" s="215"/>
      <c r="L109" t="str">
        <f t="shared" ca="1" si="15"/>
        <v>b</v>
      </c>
      <c r="M109" t="str">
        <f>REPT(" ",3-K109)&amp;IF(K109=0," ","")</f>
        <v xml:space="preserve">    </v>
      </c>
      <c r="O109" s="194"/>
      <c r="P109" s="208">
        <f>IF(ISNUMBER(D109),LOOKUP(D109,$AB$5:$AC$7),D109)</f>
        <v>0</v>
      </c>
      <c r="Q109" s="208">
        <f t="shared" si="16"/>
        <v>0</v>
      </c>
      <c r="R109" s="301" t="str">
        <f t="shared" ca="1" si="17"/>
        <v/>
      </c>
      <c r="S109" s="305">
        <f>H109</f>
        <v>0</v>
      </c>
      <c r="T109" s="150"/>
      <c r="U109" s="216">
        <f ca="1">IF(L109="l","",IF(D109+F109&gt;0,SUM(Z109:AA109),-1))</f>
        <v>-1</v>
      </c>
      <c r="V109" s="395"/>
      <c r="W109" s="107"/>
      <c r="Z109" s="114">
        <f>IF(D109&gt;0,0,TRUNC(F109*T109+Y109*X109))</f>
        <v>0</v>
      </c>
      <c r="AA109" t="b">
        <f>IF($D109=1,SUM(Z$13:Z107)-SUM(AA$13:AA107),IF($D109=2,$AA$6,IF($D109=3,TRUNC($AA$6,-3))))</f>
        <v>0</v>
      </c>
      <c r="AB109">
        <f ca="1">IF(OR(AC$8=0,L108="l",D109&gt;0,U109=-1),0,IF(L108="b",-U109,TRUNC(F108*T109)))</f>
        <v>0</v>
      </c>
      <c r="AC109" t="b">
        <f>IF($D109=1,SUM(AB$13:AB107)-SUM(AC$13:AC107),IF($D109=2,$AA$5,IF($D109=3,TRUNC($AA$5,-3))))</f>
        <v>0</v>
      </c>
    </row>
    <row r="110" spans="3:29" ht="15" customHeight="1" x14ac:dyDescent="0.15">
      <c r="C110" s="182"/>
      <c r="D110" s="210"/>
      <c r="E110" s="184"/>
      <c r="F110" s="227"/>
      <c r="G110" s="297" t="str">
        <f ca="1">IF(OR(AC$8=0,L110="b"),"",IF(L110="l",0,"("&amp;FIXED(-F110,K111,0)&amp;M110))</f>
        <v/>
      </c>
      <c r="H110" s="183"/>
      <c r="I110" s="185"/>
      <c r="L110" t="str">
        <f t="shared" ca="1" si="15"/>
        <v>b</v>
      </c>
      <c r="M110" t="str">
        <f>")"&amp;REPT(" ",2-K111)&amp;IF(K111=0," ","")</f>
        <v xml:space="preserve">)   </v>
      </c>
      <c r="O110" s="194"/>
      <c r="P110" s="207">
        <f>D110</f>
        <v>0</v>
      </c>
      <c r="Q110" s="207">
        <f t="shared" si="16"/>
        <v>0</v>
      </c>
      <c r="R110" s="300" t="str">
        <f t="shared" ca="1" si="17"/>
        <v/>
      </c>
      <c r="S110" s="304"/>
      <c r="T110" s="149"/>
      <c r="U110" s="206">
        <f ca="1">IF(OR(AC$8=0,SUM(Z111:AC111)=0),1,IF(L110="l","",SUM(AB111:AC111)))</f>
        <v>1</v>
      </c>
      <c r="V110" s="394"/>
      <c r="W110" s="50"/>
      <c r="Z110"/>
    </row>
    <row r="111" spans="3:29" ht="15" customHeight="1" x14ac:dyDescent="0.15">
      <c r="C111" s="186"/>
      <c r="D111" s="205"/>
      <c r="E111" s="188"/>
      <c r="F111" s="226"/>
      <c r="G111" s="296" t="str">
        <f ca="1">IF(L111="b","",IF(L111="l",0,FIXED(F111,K111,0)&amp;M111))</f>
        <v/>
      </c>
      <c r="H111" s="187"/>
      <c r="I111" s="189"/>
      <c r="K111" s="215"/>
      <c r="L111" t="str">
        <f t="shared" ca="1" si="15"/>
        <v>b</v>
      </c>
      <c r="M111" t="str">
        <f>REPT(" ",3-K111)&amp;IF(K111=0," ","")</f>
        <v xml:space="preserve">    </v>
      </c>
      <c r="O111" s="194"/>
      <c r="P111" s="208">
        <f>IF(ISNUMBER(D111),LOOKUP(D111,$AB$5:$AC$7),D111)</f>
        <v>0</v>
      </c>
      <c r="Q111" s="208">
        <f t="shared" si="16"/>
        <v>0</v>
      </c>
      <c r="R111" s="301" t="str">
        <f t="shared" ca="1" si="17"/>
        <v/>
      </c>
      <c r="S111" s="305">
        <f>H111</f>
        <v>0</v>
      </c>
      <c r="T111" s="150"/>
      <c r="U111" s="216">
        <f ca="1">IF(L111="l","",IF(D111+F111&gt;0,SUM(Z111:AA111),-1))</f>
        <v>-1</v>
      </c>
      <c r="V111" s="395"/>
      <c r="W111" s="107"/>
      <c r="Z111" s="114">
        <f>IF(D111&gt;0,0,TRUNC(F111*T111+Y111*X111))</f>
        <v>0</v>
      </c>
      <c r="AA111" t="b">
        <f>IF($D111=1,SUM(Z$13:Z109)-SUM(AA$13:AA109),IF($D111=2,$AA$6,IF($D111=3,TRUNC($AA$6,-3))))</f>
        <v>0</v>
      </c>
      <c r="AB111">
        <f ca="1">IF(OR(AC$8=0,L110="l",D111&gt;0,U111=-1),0,IF(L110="b",-U111,TRUNC(F110*T111)))</f>
        <v>0</v>
      </c>
      <c r="AC111" t="b">
        <f>IF($D111=1,SUM(AB$13:AB109)-SUM(AC$13:AC109),IF($D111=2,$AA$5,IF($D111=3,TRUNC($AA$5,-3))))</f>
        <v>0</v>
      </c>
    </row>
    <row r="112" spans="3:29" ht="15" customHeight="1" x14ac:dyDescent="0.15">
      <c r="C112" s="182"/>
      <c r="D112" s="210"/>
      <c r="E112" s="184"/>
      <c r="F112" s="227"/>
      <c r="G112" s="297" t="str">
        <f ca="1">IF(OR(AC$8=0,L112="b"),"",IF(L112="l",0,"("&amp;FIXED(-F112,K113,0)&amp;M112))</f>
        <v/>
      </c>
      <c r="H112" s="183"/>
      <c r="I112" s="185"/>
      <c r="L112" t="str">
        <f t="shared" ca="1" si="15"/>
        <v>b</v>
      </c>
      <c r="M112" t="str">
        <f>")"&amp;REPT(" ",2-K113)&amp;IF(K113=0," ","")</f>
        <v xml:space="preserve">)   </v>
      </c>
      <c r="O112" s="194"/>
      <c r="P112" s="207">
        <f>D112</f>
        <v>0</v>
      </c>
      <c r="Q112" s="207">
        <f t="shared" si="16"/>
        <v>0</v>
      </c>
      <c r="R112" s="300" t="str">
        <f t="shared" ca="1" si="17"/>
        <v/>
      </c>
      <c r="S112" s="304"/>
      <c r="T112" s="149"/>
      <c r="U112" s="206">
        <f ca="1">IF(OR(AC$8=0,SUM(Z113:AC113)=0),1,IF(L112="l","",SUM(AB113:AC113)))</f>
        <v>1</v>
      </c>
      <c r="V112" s="394"/>
      <c r="W112" s="50"/>
      <c r="Z112"/>
    </row>
    <row r="113" spans="3:29" ht="15" customHeight="1" x14ac:dyDescent="0.15">
      <c r="C113" s="186"/>
      <c r="D113" s="205"/>
      <c r="E113" s="188"/>
      <c r="F113" s="226"/>
      <c r="G113" s="296" t="str">
        <f ca="1">IF(L113="b","",IF(L113="l",0,FIXED(F113,K113,0)&amp;M113))</f>
        <v/>
      </c>
      <c r="H113" s="187"/>
      <c r="I113" s="189"/>
      <c r="K113" s="215"/>
      <c r="L113" t="str">
        <f t="shared" ca="1" si="15"/>
        <v>b</v>
      </c>
      <c r="M113" t="str">
        <f>REPT(" ",3-K113)&amp;IF(K113=0," ","")</f>
        <v xml:space="preserve">    </v>
      </c>
      <c r="O113" s="194"/>
      <c r="P113" s="208">
        <f>IF(ISNUMBER(D113),LOOKUP(D113,$AB$5:$AC$7),D113)</f>
        <v>0</v>
      </c>
      <c r="Q113" s="208">
        <f t="shared" si="16"/>
        <v>0</v>
      </c>
      <c r="R113" s="301" t="str">
        <f t="shared" ca="1" si="17"/>
        <v/>
      </c>
      <c r="S113" s="305">
        <f>H113</f>
        <v>0</v>
      </c>
      <c r="T113" s="150"/>
      <c r="U113" s="216">
        <f ca="1">IF(L113="l","",IF(D113+F113&gt;0,SUM(Z113:AA113),-1))</f>
        <v>-1</v>
      </c>
      <c r="V113" s="395"/>
      <c r="W113" s="107"/>
      <c r="Z113" s="114">
        <f>IF(D113&gt;0,0,TRUNC(F113*T113+Y113*X113))</f>
        <v>0</v>
      </c>
      <c r="AA113" t="b">
        <f>IF($D113=1,SUM(Z$13:Z111)-SUM(AA$13:AA111),IF($D113=2,$AA$6,IF($D113=3,TRUNC($AA$6,-3))))</f>
        <v>0</v>
      </c>
      <c r="AB113">
        <f ca="1">IF(OR(AC$8=0,L112="l",D113&gt;0,U113=-1),0,IF(L112="b",-U113,TRUNC(F112*T113)))</f>
        <v>0</v>
      </c>
      <c r="AC113" t="b">
        <f>IF($D113=1,SUM(AB$13:AB111)-SUM(AC$13:AC111),IF($D113=2,$AA$5,IF($D113=3,TRUNC($AA$5,-3))))</f>
        <v>0</v>
      </c>
    </row>
    <row r="114" spans="3:29" ht="15" customHeight="1" x14ac:dyDescent="0.15">
      <c r="C114" s="182"/>
      <c r="D114" s="210"/>
      <c r="E114" s="184"/>
      <c r="F114" s="227"/>
      <c r="G114" s="297" t="str">
        <f ca="1">IF(OR(AC$8=0,L114="b"),"",IF(L114="l",0,"("&amp;FIXED(-F114,K115,0)&amp;M114))</f>
        <v/>
      </c>
      <c r="H114" s="183"/>
      <c r="I114" s="185"/>
      <c r="L114" t="str">
        <f t="shared" ca="1" si="15"/>
        <v>b</v>
      </c>
      <c r="M114" t="str">
        <f>")"&amp;REPT(" ",2-K115)&amp;IF(K115=0," ","")</f>
        <v xml:space="preserve">)   </v>
      </c>
      <c r="O114" s="194"/>
      <c r="P114" s="207">
        <f>D114</f>
        <v>0</v>
      </c>
      <c r="Q114" s="207">
        <f t="shared" si="16"/>
        <v>0</v>
      </c>
      <c r="R114" s="300" t="str">
        <f t="shared" ca="1" si="17"/>
        <v/>
      </c>
      <c r="S114" s="304"/>
      <c r="T114" s="149"/>
      <c r="U114" s="206">
        <f ca="1">IF(OR(AC$8=0,SUM(Z115:AC115)=0),1,IF(L114="l","",SUM(AB115:AC115)))</f>
        <v>1</v>
      </c>
      <c r="V114" s="394"/>
      <c r="W114" s="50"/>
      <c r="Z114"/>
    </row>
    <row r="115" spans="3:29" ht="15" customHeight="1" x14ac:dyDescent="0.15">
      <c r="C115" s="186"/>
      <c r="D115" s="205"/>
      <c r="E115" s="188"/>
      <c r="F115" s="226"/>
      <c r="G115" s="296" t="str">
        <f ca="1">IF(L115="b","",IF(L115="l",0,FIXED(F115,K115,0)&amp;M115))</f>
        <v/>
      </c>
      <c r="H115" s="187"/>
      <c r="I115" s="189"/>
      <c r="K115" s="215"/>
      <c r="L115" t="str">
        <f t="shared" ca="1" si="15"/>
        <v>b</v>
      </c>
      <c r="M115" t="str">
        <f>REPT(" ",3-K115)&amp;IF(K115=0," ","")</f>
        <v xml:space="preserve">    </v>
      </c>
      <c r="O115" s="194"/>
      <c r="P115" s="208">
        <f>IF(ISNUMBER(D115),LOOKUP(D115,$AB$5:$AC$7),D115)</f>
        <v>0</v>
      </c>
      <c r="Q115" s="208">
        <f t="shared" si="16"/>
        <v>0</v>
      </c>
      <c r="R115" s="301" t="str">
        <f t="shared" ca="1" si="17"/>
        <v/>
      </c>
      <c r="S115" s="305">
        <f>H115</f>
        <v>0</v>
      </c>
      <c r="T115" s="150"/>
      <c r="U115" s="216">
        <f ca="1">IF(L115="l","",IF(D115+F115&gt;0,SUM(Z115:AA115),-1))</f>
        <v>-1</v>
      </c>
      <c r="V115" s="395"/>
      <c r="W115" s="107"/>
      <c r="Z115" s="114">
        <f>IF(D115&gt;0,0,TRUNC(F115*T115+Y115*X115))</f>
        <v>0</v>
      </c>
      <c r="AA115" t="b">
        <f>IF($D115=1,SUM(Z$13:Z113)-SUM(AA$13:AA113),IF($D115=2,$AA$6,IF($D115=3,TRUNC($AA$6,-3))))</f>
        <v>0</v>
      </c>
      <c r="AB115">
        <f ca="1">IF(OR(AC$8=0,L114="l",D115&gt;0,U115=-1),0,IF(L114="b",-U115,TRUNC(F114*T115)))</f>
        <v>0</v>
      </c>
      <c r="AC115" t="b">
        <f>IF($D115=1,SUM(AB$13:AB113)-SUM(AC$13:AC113),IF($D115=2,$AA$5,IF($D115=3,TRUNC($AA$5,-3))))</f>
        <v>0</v>
      </c>
    </row>
    <row r="116" spans="3:29" ht="15" customHeight="1" x14ac:dyDescent="0.15">
      <c r="C116" s="182"/>
      <c r="D116" s="210"/>
      <c r="E116" s="184"/>
      <c r="F116" s="227"/>
      <c r="G116" s="297" t="str">
        <f ca="1">IF(OR(AC$8=0,L116="b"),"",IF(L116="l",0,"("&amp;FIXED(-F116,K117,0)&amp;M116))</f>
        <v/>
      </c>
      <c r="H116" s="183"/>
      <c r="I116" s="185"/>
      <c r="L116" t="str">
        <f t="shared" ca="1" si="15"/>
        <v>b</v>
      </c>
      <c r="M116" t="str">
        <f>")"&amp;REPT(" ",2-K117)&amp;IF(K117=0," ","")</f>
        <v xml:space="preserve">)   </v>
      </c>
      <c r="O116" s="194"/>
      <c r="P116" s="207">
        <f>D116</f>
        <v>0</v>
      </c>
      <c r="Q116" s="207">
        <f t="shared" si="16"/>
        <v>0</v>
      </c>
      <c r="R116" s="300" t="str">
        <f t="shared" ca="1" si="17"/>
        <v/>
      </c>
      <c r="S116" s="304"/>
      <c r="T116" s="149"/>
      <c r="U116" s="206">
        <f ca="1">IF(OR(AC$8=0,SUM(Z117:AC117)=0),1,IF(L116="l","",SUM(AB117:AC117)))</f>
        <v>1</v>
      </c>
      <c r="V116" s="394"/>
      <c r="W116" s="50"/>
      <c r="Z116"/>
    </row>
    <row r="117" spans="3:29" ht="15" customHeight="1" x14ac:dyDescent="0.15">
      <c r="C117" s="186"/>
      <c r="D117" s="205"/>
      <c r="E117" s="188"/>
      <c r="F117" s="226"/>
      <c r="G117" s="296" t="str">
        <f ca="1">IF(L117="b","",IF(L117="l",0,FIXED(F117,K117,0)&amp;M117))</f>
        <v/>
      </c>
      <c r="H117" s="187"/>
      <c r="I117" s="189"/>
      <c r="K117" s="215"/>
      <c r="L117" t="str">
        <f t="shared" ca="1" si="15"/>
        <v>b</v>
      </c>
      <c r="M117" t="str">
        <f>REPT(" ",3-K117)&amp;IF(K117=0," ","")</f>
        <v xml:space="preserve">    </v>
      </c>
      <c r="O117" s="194"/>
      <c r="P117" s="208">
        <f>IF(ISNUMBER(D117),LOOKUP(D117,$AB$5:$AC$7),D117)</f>
        <v>0</v>
      </c>
      <c r="Q117" s="208">
        <f t="shared" si="16"/>
        <v>0</v>
      </c>
      <c r="R117" s="301" t="str">
        <f t="shared" ca="1" si="17"/>
        <v/>
      </c>
      <c r="S117" s="305">
        <f>H117</f>
        <v>0</v>
      </c>
      <c r="T117" s="150"/>
      <c r="U117" s="216">
        <f ca="1">IF(L117="l","",IF(D117+F117&gt;0,SUM(Z117:AA117),-1))</f>
        <v>-1</v>
      </c>
      <c r="V117" s="395"/>
      <c r="W117" s="107"/>
      <c r="Z117" s="114">
        <f>IF(D117&gt;0,0,TRUNC(F117*T117+Y117*X117))</f>
        <v>0</v>
      </c>
      <c r="AA117" t="b">
        <f>IF($D117=1,SUM(Z$13:Z115)-SUM(AA$13:AA115),IF($D117=2,$AA$6,IF($D117=3,TRUNC($AA$6,-3))))</f>
        <v>0</v>
      </c>
      <c r="AB117">
        <f ca="1">IF(OR(AC$8=0,L116="l",D117&gt;0,U117=-1),0,IF(L116="b",-U117,TRUNC(F116*T117)))</f>
        <v>0</v>
      </c>
      <c r="AC117" t="b">
        <f>IF($D117=1,SUM(AB$13:AB115)-SUM(AC$13:AC115),IF($D117=2,$AA$5,IF($D117=3,TRUNC($AA$5,-3))))</f>
        <v>0</v>
      </c>
    </row>
    <row r="118" spans="3:29" ht="15" customHeight="1" x14ac:dyDescent="0.15">
      <c r="C118" s="182"/>
      <c r="D118" s="210"/>
      <c r="E118" s="184"/>
      <c r="F118" s="227"/>
      <c r="G118" s="297" t="str">
        <f ca="1">IF(OR(AC$8=0,L118="b"),"",IF(L118="l",0,"("&amp;FIXED(-F118,K119,0)&amp;M118))</f>
        <v/>
      </c>
      <c r="H118" s="183"/>
      <c r="I118" s="185"/>
      <c r="L118" t="str">
        <f ca="1">CELL("type",F118)</f>
        <v>b</v>
      </c>
      <c r="M118" t="str">
        <f>")"&amp;REPT(" ",2-K119)&amp;IF(K119=0," ","")</f>
        <v xml:space="preserve">)   </v>
      </c>
      <c r="O118" s="194"/>
      <c r="P118" s="207">
        <f>D118</f>
        <v>0</v>
      </c>
      <c r="Q118" s="207">
        <f>E118</f>
        <v>0</v>
      </c>
      <c r="R118" s="300" t="str">
        <f ca="1">G118</f>
        <v/>
      </c>
      <c r="S118" s="304"/>
      <c r="T118" s="149"/>
      <c r="U118" s="206">
        <f ca="1">IF(OR(AC$8=0,SUM(Z119:AC119)=0),1,IF(L118="l","",SUM(AB119:AC119)))</f>
        <v>1</v>
      </c>
      <c r="V118" s="394"/>
      <c r="W118" s="50"/>
      <c r="Z118"/>
    </row>
    <row r="119" spans="3:29" ht="15" customHeight="1" x14ac:dyDescent="0.15">
      <c r="C119" s="186"/>
      <c r="D119" s="205"/>
      <c r="E119" s="188"/>
      <c r="F119" s="226"/>
      <c r="G119" s="296" t="str">
        <f ca="1">IF(L119="b","",IF(L119="l",0,FIXED(F119,K119,0)&amp;M119))</f>
        <v/>
      </c>
      <c r="H119" s="187"/>
      <c r="I119" s="189"/>
      <c r="K119" s="215"/>
      <c r="L119" t="str">
        <f ca="1">CELL("type",F119)</f>
        <v>b</v>
      </c>
      <c r="M119" t="str">
        <f>REPT(" ",3-K119)&amp;IF(K119=0," ","")</f>
        <v xml:space="preserve">    </v>
      </c>
      <c r="O119" s="194"/>
      <c r="P119" s="208">
        <f>IF(ISNUMBER(D119),LOOKUP(D119,$AB$5:$AC$7),D119)</f>
        <v>0</v>
      </c>
      <c r="Q119" s="208">
        <f>E119</f>
        <v>0</v>
      </c>
      <c r="R119" s="301" t="str">
        <f ca="1">G119</f>
        <v/>
      </c>
      <c r="S119" s="305">
        <f>H119</f>
        <v>0</v>
      </c>
      <c r="T119" s="150"/>
      <c r="U119" s="216">
        <f ca="1">IF(L119="l","",IF(D119+F119&gt;0,SUM(Z119:AA119),-1))</f>
        <v>-1</v>
      </c>
      <c r="V119" s="395"/>
      <c r="W119" s="107"/>
      <c r="Z119" s="114">
        <f>IF(D119&gt;0,0,TRUNC(F119*T119+Y119*X119))</f>
        <v>0</v>
      </c>
      <c r="AA119" t="b">
        <f>IF($D119=1,SUM(Z$13:Z117)-SUM(AA$13:AA117),IF($D119=2,$AA$6,IF($D119=3,TRUNC($AA$6,-3))))</f>
        <v>0</v>
      </c>
      <c r="AB119">
        <f ca="1">IF(OR(AC$8=0,L118="l",D119&gt;0,U119=-1),0,IF(L118="b",-U119,TRUNC(F118*T119)))</f>
        <v>0</v>
      </c>
      <c r="AC119" t="b">
        <f>IF($D119=1,SUM(AB$13:AB117)-SUM(AC$13:AC117),IF($D119=2,$AA$5,IF($D119=3,TRUNC($AA$5,-3))))</f>
        <v>0</v>
      </c>
    </row>
    <row r="120" spans="3:29" ht="15" customHeight="1" x14ac:dyDescent="0.15">
      <c r="C120" s="182"/>
      <c r="D120" s="210"/>
      <c r="E120" s="184"/>
      <c r="F120" s="227"/>
      <c r="G120" s="297" t="str">
        <f ca="1">IF(OR(AC$8=0,L120="b"),"",IF(L120="l",0,"("&amp;FIXED(-F120,K121,0)&amp;M120))</f>
        <v/>
      </c>
      <c r="H120" s="183"/>
      <c r="I120" s="185"/>
      <c r="L120" t="str">
        <f t="shared" ca="1" si="15"/>
        <v>b</v>
      </c>
      <c r="M120" t="str">
        <f>")"&amp;REPT(" ",2-K121)&amp;IF(K121=0," ","")</f>
        <v xml:space="preserve">)   </v>
      </c>
      <c r="O120" s="194"/>
      <c r="P120" s="207">
        <f>D120</f>
        <v>0</v>
      </c>
      <c r="Q120" s="207">
        <f t="shared" si="16"/>
        <v>0</v>
      </c>
      <c r="R120" s="300" t="str">
        <f t="shared" ca="1" si="17"/>
        <v/>
      </c>
      <c r="S120" s="304"/>
      <c r="T120" s="149"/>
      <c r="U120" s="206">
        <f ca="1">IF(OR(AC$8=0,SUM(Z121:AC121)=0),1,IF(L120="l","",SUM(AB121:AC121)))</f>
        <v>1</v>
      </c>
      <c r="V120" s="394"/>
      <c r="W120" s="50"/>
      <c r="Z120"/>
    </row>
    <row r="121" spans="3:29" ht="15" customHeight="1" x14ac:dyDescent="0.15">
      <c r="C121" s="186"/>
      <c r="D121" s="205"/>
      <c r="E121" s="188"/>
      <c r="F121" s="226"/>
      <c r="G121" s="296" t="str">
        <f ca="1">IF(L121="b","",IF(L121="l",0,FIXED(F121,K121,0)&amp;M121))</f>
        <v/>
      </c>
      <c r="H121" s="187"/>
      <c r="I121" s="189"/>
      <c r="K121" s="215"/>
      <c r="L121" t="str">
        <f t="shared" ca="1" si="15"/>
        <v>b</v>
      </c>
      <c r="M121" t="str">
        <f>REPT(" ",3-K121)&amp;IF(K121=0," ","")</f>
        <v xml:space="preserve">    </v>
      </c>
      <c r="O121" s="194"/>
      <c r="P121" s="208">
        <f>IF(ISNUMBER(D121),LOOKUP(D121,$AB$5:$AC$7),D121)</f>
        <v>0</v>
      </c>
      <c r="Q121" s="208">
        <f t="shared" si="16"/>
        <v>0</v>
      </c>
      <c r="R121" s="301" t="str">
        <f t="shared" ca="1" si="17"/>
        <v/>
      </c>
      <c r="S121" s="305">
        <f>H121</f>
        <v>0</v>
      </c>
      <c r="T121" s="150"/>
      <c r="U121" s="216">
        <f ca="1">IF(L121="l","",IF(D121+F121&gt;0,SUM(Z121:AA121),-1))</f>
        <v>-1</v>
      </c>
      <c r="V121" s="395"/>
      <c r="W121" s="107"/>
      <c r="Z121" s="114">
        <f>IF(D121&gt;0,0,TRUNC(F121*T121+Y121*X121))</f>
        <v>0</v>
      </c>
      <c r="AA121" t="b">
        <f>IF($D121=1,SUM(Z$13:Z119)-SUM(AA$13:AA119),IF($D121=2,$AA$6,IF($D121=3,TRUNC($AA$6,-3))))</f>
        <v>0</v>
      </c>
      <c r="AB121">
        <f ca="1">IF(OR(AC$8=0,L120="l",D121&gt;0,U121=-1),0,IF(L120="b",-U121,TRUNC(F120*T121)))</f>
        <v>0</v>
      </c>
      <c r="AC121" t="b">
        <f>IF($D121=1,SUM(AB$13:AB119)-SUM(AC$13:AC119),IF($D121=2,$AA$5,IF($D121=3,TRUNC($AA$5,-3))))</f>
        <v>0</v>
      </c>
    </row>
    <row r="122" spans="3:29" ht="15" customHeight="1" x14ac:dyDescent="0.15">
      <c r="C122" s="182"/>
      <c r="D122" s="210"/>
      <c r="E122" s="184"/>
      <c r="F122" s="227"/>
      <c r="G122" s="297" t="str">
        <f ca="1">IF(OR(AC$8=0,L122="b"),"",IF(L122="l",0,"("&amp;FIXED(-F122,K123,0)&amp;M122))</f>
        <v/>
      </c>
      <c r="H122" s="183"/>
      <c r="I122" s="185"/>
      <c r="L122" t="str">
        <f t="shared" ca="1" si="15"/>
        <v>b</v>
      </c>
      <c r="M122" t="str">
        <f>")"&amp;REPT(" ",2-K123)&amp;IF(K123=0," ","")</f>
        <v xml:space="preserve">)   </v>
      </c>
      <c r="O122" s="194"/>
      <c r="P122" s="207">
        <f>D122</f>
        <v>0</v>
      </c>
      <c r="Q122" s="207">
        <f t="shared" si="16"/>
        <v>0</v>
      </c>
      <c r="R122" s="300" t="str">
        <f t="shared" ca="1" si="17"/>
        <v/>
      </c>
      <c r="S122" s="304"/>
      <c r="T122" s="149"/>
      <c r="U122" s="206">
        <f ca="1">IF(OR(AC$8=0,SUM(Z123:AC123)=0),1,IF(L122="l","",SUM(AB123:AC123)))</f>
        <v>1</v>
      </c>
      <c r="V122" s="394"/>
      <c r="W122" s="50"/>
      <c r="Z122"/>
    </row>
    <row r="123" spans="3:29" ht="15" customHeight="1" x14ac:dyDescent="0.15">
      <c r="C123" s="186"/>
      <c r="D123" s="205"/>
      <c r="E123" s="188"/>
      <c r="F123" s="226"/>
      <c r="G123" s="296" t="str">
        <f ca="1">IF(L123="b","",IF(L123="l",0,FIXED(F123,K123,0)&amp;M123))</f>
        <v/>
      </c>
      <c r="H123" s="187"/>
      <c r="I123" s="189"/>
      <c r="K123" s="215"/>
      <c r="L123" t="str">
        <f t="shared" ca="1" si="15"/>
        <v>b</v>
      </c>
      <c r="M123" t="str">
        <f>REPT(" ",3-K123)&amp;IF(K123=0," ","")</f>
        <v xml:space="preserve">    </v>
      </c>
      <c r="O123" s="194"/>
      <c r="P123" s="208">
        <f>IF(ISNUMBER(D123),LOOKUP(D123,$AB$5:$AC$7),D123)</f>
        <v>0</v>
      </c>
      <c r="Q123" s="208">
        <f t="shared" si="16"/>
        <v>0</v>
      </c>
      <c r="R123" s="301" t="str">
        <f t="shared" ca="1" si="17"/>
        <v/>
      </c>
      <c r="S123" s="305">
        <f>H123</f>
        <v>0</v>
      </c>
      <c r="T123" s="150"/>
      <c r="U123" s="216">
        <f ca="1">IF(L123="l","",IF(D123+F123&gt;0,SUM(Z123:AA123),-1))</f>
        <v>-1</v>
      </c>
      <c r="V123" s="395"/>
      <c r="W123" s="107"/>
      <c r="Z123" s="114">
        <f>IF(D123&gt;0,0,TRUNC(F123*T123+Y123*X123))</f>
        <v>0</v>
      </c>
      <c r="AA123" t="b">
        <f>IF($D123=1,SUM(Z$13:Z121)-SUM(AA$13:AA121),IF($D123=2,$AA$6,IF($D123=3,TRUNC($AA$6,-3))))</f>
        <v>0</v>
      </c>
      <c r="AB123">
        <f ca="1">IF(OR(AC$8=0,L122="l",D123&gt;0,U123=-1),0,IF(L122="b",-U123,TRUNC(F122*T123)))</f>
        <v>0</v>
      </c>
      <c r="AC123" t="b">
        <f>IF($D123=1,SUM(AB$13:AB121)-SUM(AC$13:AC121),IF($D123=2,$AA$5,IF($D123=3,TRUNC($AA$5,-3))))</f>
        <v>0</v>
      </c>
    </row>
    <row r="124" spans="3:29" ht="15" customHeight="1" x14ac:dyDescent="0.15">
      <c r="C124" s="182"/>
      <c r="D124" s="210"/>
      <c r="E124" s="184"/>
      <c r="F124" s="227"/>
      <c r="G124" s="297" t="str">
        <f ca="1">IF(OR(AC$8=0,L124="b"),"",IF(L124="l",0,"("&amp;FIXED(-F124,K125,0)&amp;M124))</f>
        <v/>
      </c>
      <c r="H124" s="183"/>
      <c r="I124" s="185"/>
      <c r="L124" t="str">
        <f t="shared" ca="1" si="15"/>
        <v>b</v>
      </c>
      <c r="M124" t="str">
        <f>")"&amp;REPT(" ",2-K125)&amp;IF(K125=0," ","")</f>
        <v xml:space="preserve">)   </v>
      </c>
      <c r="O124" s="194"/>
      <c r="P124" s="207">
        <f>D124</f>
        <v>0</v>
      </c>
      <c r="Q124" s="207">
        <f t="shared" si="16"/>
        <v>0</v>
      </c>
      <c r="R124" s="300" t="str">
        <f t="shared" ca="1" si="17"/>
        <v/>
      </c>
      <c r="S124" s="304"/>
      <c r="T124" s="149"/>
      <c r="U124" s="206">
        <f ca="1">IF(OR(AC$8=0,SUM(Z125:AC125)=0),1,IF(L124="l","",SUM(AB125:AC125)))</f>
        <v>1</v>
      </c>
      <c r="V124" s="394"/>
      <c r="W124" s="50"/>
      <c r="Z124"/>
    </row>
    <row r="125" spans="3:29" ht="15" customHeight="1" x14ac:dyDescent="0.15">
      <c r="C125" s="186"/>
      <c r="D125" s="205"/>
      <c r="E125" s="188"/>
      <c r="F125" s="226"/>
      <c r="G125" s="296" t="str">
        <f ca="1">IF(L125="b","",IF(L125="l",0,FIXED(F125,K125,0)&amp;M125))</f>
        <v/>
      </c>
      <c r="H125" s="187"/>
      <c r="I125" s="189"/>
      <c r="K125" s="215"/>
      <c r="L125" t="str">
        <f t="shared" ca="1" si="15"/>
        <v>b</v>
      </c>
      <c r="M125" t="str">
        <f>REPT(" ",3-K125)&amp;IF(K125=0," ","")</f>
        <v xml:space="preserve">    </v>
      </c>
      <c r="O125" s="194"/>
      <c r="P125" s="208">
        <f>IF(ISNUMBER(D125),LOOKUP(D125,$AB$5:$AC$7),D125)</f>
        <v>0</v>
      </c>
      <c r="Q125" s="208">
        <f t="shared" si="16"/>
        <v>0</v>
      </c>
      <c r="R125" s="301" t="str">
        <f t="shared" ca="1" si="17"/>
        <v/>
      </c>
      <c r="S125" s="305">
        <f>H125</f>
        <v>0</v>
      </c>
      <c r="T125" s="150"/>
      <c r="U125" s="216">
        <f ca="1">IF(L125="l","",IF(D125+F125&gt;0,SUM(Z125:AA125),-1))</f>
        <v>-1</v>
      </c>
      <c r="V125" s="395"/>
      <c r="W125" s="107"/>
      <c r="Z125" s="114">
        <f>IF(D125&gt;0,0,TRUNC(F125*T125+Y125*X125))</f>
        <v>0</v>
      </c>
      <c r="AA125" t="b">
        <f>IF($D125=1,SUM(Z$13:Z123)-SUM(AA$13:AA123),IF($D125=2,$AA$6,IF($D125=3,TRUNC($AA$6,-3))))</f>
        <v>0</v>
      </c>
      <c r="AB125">
        <f ca="1">IF(OR(AC$8=0,L124="l",D125&gt;0,U125=-1),0,IF(L124="b",-U125,TRUNC(F124*T125)))</f>
        <v>0</v>
      </c>
      <c r="AC125" t="b">
        <f>IF($D125=1,SUM(AB$13:AB123)-SUM(AC$13:AC123),IF($D125=2,$AA$5,IF($D125=3,TRUNC($AA$5,-3))))</f>
        <v>0</v>
      </c>
    </row>
    <row r="126" spans="3:29" ht="15" customHeight="1" x14ac:dyDescent="0.15">
      <c r="C126" s="182"/>
      <c r="D126" s="210"/>
      <c r="E126" s="184"/>
      <c r="F126" s="227"/>
      <c r="G126" s="297" t="str">
        <f ca="1">IF(OR(AC$8=0,L126="b"),"",IF(L126="l",0,"("&amp;FIXED(-F126,K127,0)&amp;M126))</f>
        <v/>
      </c>
      <c r="H126" s="183"/>
      <c r="I126" s="185"/>
      <c r="L126" t="str">
        <f t="shared" ca="1" si="15"/>
        <v>b</v>
      </c>
      <c r="M126" t="str">
        <f>")"&amp;REPT(" ",2-K127)&amp;IF(K127=0," ","")</f>
        <v xml:space="preserve">)   </v>
      </c>
      <c r="O126" s="194"/>
      <c r="P126" s="207">
        <f>D126</f>
        <v>0</v>
      </c>
      <c r="Q126" s="207">
        <f t="shared" si="16"/>
        <v>0</v>
      </c>
      <c r="R126" s="300" t="str">
        <f t="shared" ca="1" si="17"/>
        <v/>
      </c>
      <c r="S126" s="304"/>
      <c r="T126" s="149"/>
      <c r="U126" s="206">
        <f ca="1">IF(OR(AC$8=0,SUM(Z127:AC127)=0),1,IF(L126="l","",SUM(AB127:AC127)))</f>
        <v>1</v>
      </c>
      <c r="V126" s="394"/>
      <c r="W126" s="50"/>
      <c r="Z126"/>
    </row>
    <row r="127" spans="3:29" ht="15" customHeight="1" x14ac:dyDescent="0.15">
      <c r="C127" s="186"/>
      <c r="D127" s="205"/>
      <c r="E127" s="188"/>
      <c r="F127" s="226"/>
      <c r="G127" s="296" t="str">
        <f ca="1">IF(L127="b","",IF(L127="l",0,FIXED(F127,K127,0)&amp;M127))</f>
        <v/>
      </c>
      <c r="H127" s="187"/>
      <c r="I127" s="189"/>
      <c r="K127" s="215"/>
      <c r="L127" t="str">
        <f t="shared" ca="1" si="15"/>
        <v>b</v>
      </c>
      <c r="M127" t="str">
        <f>REPT(" ",3-K127)&amp;IF(K127=0," ","")</f>
        <v xml:space="preserve">    </v>
      </c>
      <c r="O127" s="194"/>
      <c r="P127" s="208">
        <f>IF(ISNUMBER(D127),LOOKUP(D127,$AB$5:$AC$7),D127)</f>
        <v>0</v>
      </c>
      <c r="Q127" s="208">
        <f t="shared" si="16"/>
        <v>0</v>
      </c>
      <c r="R127" s="301" t="str">
        <f t="shared" ca="1" si="17"/>
        <v/>
      </c>
      <c r="S127" s="305">
        <f>H127</f>
        <v>0</v>
      </c>
      <c r="T127" s="150"/>
      <c r="U127" s="216">
        <f ca="1">IF(L127="l","",IF(D127+F127&gt;0,SUM(Z127:AA127),-1))</f>
        <v>-1</v>
      </c>
      <c r="V127" s="395"/>
      <c r="W127" s="107"/>
      <c r="Z127" s="114">
        <f>IF(D127&gt;0,0,TRUNC(F127*T127+Y127*X127))</f>
        <v>0</v>
      </c>
      <c r="AA127" t="b">
        <f>IF($D127=1,SUM(Z$13:Z125)-SUM(AA$13:AA125),IF($D127=2,$AA$6,IF($D127=3,TRUNC($AA$6,-3))))</f>
        <v>0</v>
      </c>
      <c r="AB127">
        <f ca="1">IF(OR(AC$8=0,L126="l",D127&gt;0,U127=-1),0,IF(L126="b",-U127,TRUNC(F126*T127)))</f>
        <v>0</v>
      </c>
      <c r="AC127" t="b">
        <f>IF($D127=1,SUM(AB$13:AB125)-SUM(AC$13:AC125),IF($D127=2,$AA$5,IF($D127=3,TRUNC($AA$5,-3))))</f>
        <v>0</v>
      </c>
    </row>
    <row r="128" spans="3:29" ht="15" customHeight="1" x14ac:dyDescent="0.15">
      <c r="C128" s="182"/>
      <c r="D128" s="210"/>
      <c r="E128" s="184"/>
      <c r="F128" s="227"/>
      <c r="G128" s="297" t="str">
        <f ca="1">IF(OR(AC$8=0,L128="b"),"",IF(L128="l",0,"("&amp;FIXED(-F128,K129,0)&amp;M128))</f>
        <v/>
      </c>
      <c r="H128" s="183"/>
      <c r="I128" s="185"/>
      <c r="L128" t="str">
        <f t="shared" ca="1" si="15"/>
        <v>b</v>
      </c>
      <c r="M128" t="str">
        <f>")"&amp;REPT(" ",2-K129)&amp;IF(K129=0," ","")</f>
        <v xml:space="preserve">)   </v>
      </c>
      <c r="O128" s="194"/>
      <c r="P128" s="207">
        <f>D128</f>
        <v>0</v>
      </c>
      <c r="Q128" s="207">
        <f t="shared" si="16"/>
        <v>0</v>
      </c>
      <c r="R128" s="300" t="str">
        <f t="shared" ca="1" si="17"/>
        <v/>
      </c>
      <c r="S128" s="304"/>
      <c r="T128" s="149"/>
      <c r="U128" s="206">
        <f ca="1">IF(OR(AC$8=0,SUM(Z129:AC129)=0),1,IF(L128="l","",SUM(AB129:AC129)))</f>
        <v>1</v>
      </c>
      <c r="V128" s="394"/>
      <c r="W128" s="50"/>
      <c r="Z128"/>
    </row>
    <row r="129" spans="3:29" ht="15" customHeight="1" x14ac:dyDescent="0.15">
      <c r="C129" s="186"/>
      <c r="D129" s="205"/>
      <c r="E129" s="188"/>
      <c r="F129" s="226"/>
      <c r="G129" s="296" t="str">
        <f ca="1">IF(L129="b","",IF(L129="l",0,FIXED(F129,K129,0)&amp;M129))</f>
        <v/>
      </c>
      <c r="H129" s="187"/>
      <c r="I129" s="189"/>
      <c r="K129" s="215"/>
      <c r="L129" t="str">
        <f t="shared" ca="1" si="15"/>
        <v>b</v>
      </c>
      <c r="M129" t="str">
        <f>REPT(" ",3-K129)&amp;IF(K129=0," ","")</f>
        <v xml:space="preserve">    </v>
      </c>
      <c r="O129" s="194"/>
      <c r="P129" s="208">
        <f>IF(ISNUMBER(D129),LOOKUP(D129,$AB$5:$AC$7),D129)</f>
        <v>0</v>
      </c>
      <c r="Q129" s="208">
        <f t="shared" si="16"/>
        <v>0</v>
      </c>
      <c r="R129" s="301" t="str">
        <f t="shared" ca="1" si="17"/>
        <v/>
      </c>
      <c r="S129" s="305">
        <f>H129</f>
        <v>0</v>
      </c>
      <c r="T129" s="150"/>
      <c r="U129" s="216">
        <f ca="1">IF(L129="l","",IF(D129+F129&gt;0,SUM(Z129:AA129),-1))</f>
        <v>-1</v>
      </c>
      <c r="V129" s="395"/>
      <c r="W129" s="107"/>
      <c r="Z129" s="114">
        <f>IF(D129&gt;0,0,TRUNC(F129*T129+Y129*X129))</f>
        <v>0</v>
      </c>
      <c r="AA129" t="b">
        <f>IF($D129=1,SUM(Z$13:Z127)-SUM(AA$13:AA127),IF($D129=2,$AA$6,IF($D129=3,TRUNC($AA$6,-3))))</f>
        <v>0</v>
      </c>
      <c r="AB129">
        <f ca="1">IF(OR(AC$8=0,L128="l",D129&gt;0,U129=-1),0,IF(L128="b",-U129,TRUNC(F128*T129)))</f>
        <v>0</v>
      </c>
      <c r="AC129" t="b">
        <f>IF($D129=1,SUM(AB$13:AB127)-SUM(AC$13:AC127),IF($D129=2,$AA$5,IF($D129=3,TRUNC($AA$5,-3))))</f>
        <v>0</v>
      </c>
    </row>
    <row r="130" spans="3:29" ht="15" customHeight="1" x14ac:dyDescent="0.15">
      <c r="C130" s="182"/>
      <c r="D130" s="210"/>
      <c r="E130" s="184"/>
      <c r="F130" s="227"/>
      <c r="G130" s="297" t="str">
        <f ca="1">IF(OR(AC$8=0,L130="b"),"",IF(L130="l",0,"("&amp;FIXED(-F130,K131,0)&amp;M130))</f>
        <v/>
      </c>
      <c r="H130" s="183"/>
      <c r="I130" s="185"/>
      <c r="L130" t="str">
        <f t="shared" ca="1" si="15"/>
        <v>b</v>
      </c>
      <c r="M130" t="str">
        <f>")"&amp;REPT(" ",2-K131)&amp;IF(K131=0," ","")</f>
        <v xml:space="preserve">)   </v>
      </c>
      <c r="O130" s="194"/>
      <c r="P130" s="207">
        <f>D130</f>
        <v>0</v>
      </c>
      <c r="Q130" s="207">
        <f t="shared" si="16"/>
        <v>0</v>
      </c>
      <c r="R130" s="300" t="str">
        <f t="shared" ca="1" si="17"/>
        <v/>
      </c>
      <c r="S130" s="304"/>
      <c r="T130" s="149"/>
      <c r="U130" s="206">
        <f ca="1">IF(OR(AC$8=0,SUM(Z131:AC131)=0),1,IF(L130="l","",SUM(AB131:AC131)))</f>
        <v>1</v>
      </c>
      <c r="V130" s="394"/>
      <c r="W130" s="50"/>
      <c r="Z130"/>
    </row>
    <row r="131" spans="3:29" ht="15" customHeight="1" x14ac:dyDescent="0.15">
      <c r="C131" s="186"/>
      <c r="D131" s="205"/>
      <c r="E131" s="188"/>
      <c r="F131" s="226"/>
      <c r="G131" s="296" t="str">
        <f ca="1">IF(L131="b","",IF(L131="l",0,FIXED(F131,K131,0)&amp;M131))</f>
        <v/>
      </c>
      <c r="H131" s="187"/>
      <c r="I131" s="189"/>
      <c r="K131" s="215"/>
      <c r="L131" t="str">
        <f t="shared" ca="1" si="15"/>
        <v>b</v>
      </c>
      <c r="M131" t="str">
        <f>REPT(" ",3-K131)&amp;IF(K131=0," ","")</f>
        <v xml:space="preserve">    </v>
      </c>
      <c r="O131" s="194"/>
      <c r="P131" s="208">
        <f>IF(ISNUMBER(D131),LOOKUP(D131,$AB$5:$AC$7),D131)</f>
        <v>0</v>
      </c>
      <c r="Q131" s="208">
        <f t="shared" si="16"/>
        <v>0</v>
      </c>
      <c r="R131" s="301" t="str">
        <f t="shared" ca="1" si="17"/>
        <v/>
      </c>
      <c r="S131" s="305">
        <f>H131</f>
        <v>0</v>
      </c>
      <c r="T131" s="150"/>
      <c r="U131" s="216">
        <f ca="1">IF(L131="l","",IF(D131+F131&gt;0,SUM(Z131:AA131),-1))</f>
        <v>-1</v>
      </c>
      <c r="V131" s="395"/>
      <c r="W131" s="107"/>
      <c r="Z131" s="114">
        <f>IF(D131&gt;0,0,TRUNC(F131*T131+Y131*X131))</f>
        <v>0</v>
      </c>
      <c r="AA131" t="b">
        <f>IF($D131=1,SUM(Z$13:Z129)-SUM(AA$13:AA129),IF($D131=2,$AA$6,IF($D131=3,TRUNC($AA$6,-3))))</f>
        <v>0</v>
      </c>
      <c r="AB131">
        <f ca="1">IF(OR(AC$8=0,L130="l",D131&gt;0,U131=-1),0,IF(L130="b",-U131,TRUNC(F130*T131)))</f>
        <v>0</v>
      </c>
      <c r="AC131" t="b">
        <f>IF($D131=1,SUM(AB$13:AB129)-SUM(AC$13:AC129),IF($D131=2,$AA$5,IF($D131=3,TRUNC($AA$5,-3))))</f>
        <v>0</v>
      </c>
    </row>
    <row r="132" spans="3:29" ht="15" customHeight="1" x14ac:dyDescent="0.15">
      <c r="C132" s="182"/>
      <c r="D132" s="210"/>
      <c r="E132" s="184"/>
      <c r="F132" s="227"/>
      <c r="G132" s="297" t="str">
        <f ca="1">IF(OR(AC$8=0,L132="b"),"",IF(L132="l",0,"("&amp;FIXED(-F132,K133,0)&amp;M132))</f>
        <v/>
      </c>
      <c r="H132" s="183"/>
      <c r="I132" s="185"/>
      <c r="L132" t="str">
        <f t="shared" ca="1" si="15"/>
        <v>b</v>
      </c>
      <c r="M132" t="str">
        <f>")"&amp;REPT(" ",2-K133)&amp;IF(K133=0," ","")</f>
        <v xml:space="preserve">)   </v>
      </c>
      <c r="O132" s="194"/>
      <c r="P132" s="207">
        <f>D132</f>
        <v>0</v>
      </c>
      <c r="Q132" s="207">
        <f t="shared" si="16"/>
        <v>0</v>
      </c>
      <c r="R132" s="300" t="str">
        <f t="shared" ca="1" si="17"/>
        <v/>
      </c>
      <c r="S132" s="304"/>
      <c r="T132" s="149"/>
      <c r="U132" s="206">
        <f ca="1">IF(OR(AC$8=0,SUM(Z133:AC133)=0),1,IF(L132="l","",SUM(AB133:AC133)))</f>
        <v>1</v>
      </c>
      <c r="V132" s="394"/>
      <c r="W132" s="50"/>
      <c r="Z132"/>
    </row>
    <row r="133" spans="3:29" ht="15" customHeight="1" x14ac:dyDescent="0.15">
      <c r="C133" s="186"/>
      <c r="D133" s="205"/>
      <c r="E133" s="188"/>
      <c r="F133" s="226"/>
      <c r="G133" s="296" t="str">
        <f ca="1">IF(L133="b","",IF(L133="l",0,FIXED(F133,K133,0)&amp;M133))</f>
        <v/>
      </c>
      <c r="H133" s="187"/>
      <c r="I133" s="189"/>
      <c r="K133" s="215"/>
      <c r="L133" t="str">
        <f t="shared" ca="1" si="15"/>
        <v>b</v>
      </c>
      <c r="M133" t="str">
        <f>REPT(" ",3-K133)&amp;IF(K133=0," ","")</f>
        <v xml:space="preserve">    </v>
      </c>
      <c r="O133" s="194"/>
      <c r="P133" s="208">
        <f>IF(ISNUMBER(D133),LOOKUP(D133,$AB$5:$AC$7),D133)</f>
        <v>0</v>
      </c>
      <c r="Q133" s="208">
        <f t="shared" si="16"/>
        <v>0</v>
      </c>
      <c r="R133" s="301" t="str">
        <f t="shared" ca="1" si="17"/>
        <v/>
      </c>
      <c r="S133" s="305">
        <f>H133</f>
        <v>0</v>
      </c>
      <c r="T133" s="150"/>
      <c r="U133" s="216">
        <f ca="1">IF(L133="l","",IF(D133+F133&gt;0,SUM(Z133:AA133),-1))</f>
        <v>-1</v>
      </c>
      <c r="V133" s="395"/>
      <c r="W133" s="107"/>
      <c r="Z133" s="114">
        <f>IF(D133&gt;0,0,TRUNC(F133*T133+Y133*X133))</f>
        <v>0</v>
      </c>
      <c r="AA133" t="b">
        <f>IF($D133=1,SUM(Z$13:Z131)-SUM(AA$13:AA131),IF($D133=2,$AA$6,IF($D133=3,TRUNC($AA$6,-3))))</f>
        <v>0</v>
      </c>
      <c r="AB133">
        <f ca="1">IF(OR(AC$8=0,L132="l",D133&gt;0,U133=-1),0,IF(L132="b",-U133,TRUNC(F132*T133)))</f>
        <v>0</v>
      </c>
      <c r="AC133" t="b">
        <f>IF($D133=1,SUM(AB$13:AB131)-SUM(AC$13:AC131),IF($D133=2,$AA$5,IF($D133=3,TRUNC($AA$5,-3))))</f>
        <v>0</v>
      </c>
    </row>
    <row r="134" spans="3:29" ht="15" customHeight="1" x14ac:dyDescent="0.15">
      <c r="C134" s="182"/>
      <c r="D134" s="210"/>
      <c r="E134" s="184"/>
      <c r="F134" s="227"/>
      <c r="G134" s="297" t="str">
        <f ca="1">IF(OR(AC$8=0,L134="b"),"",IF(L134="l",0,"("&amp;FIXED(-F134,K135,0)&amp;M134))</f>
        <v/>
      </c>
      <c r="H134" s="183"/>
      <c r="I134" s="185"/>
      <c r="L134" t="str">
        <f t="shared" ca="1" si="15"/>
        <v>b</v>
      </c>
      <c r="M134" t="str">
        <f>")"&amp;REPT(" ",2-K135)&amp;IF(K135=0," ","")</f>
        <v xml:space="preserve">)   </v>
      </c>
      <c r="O134" s="194"/>
      <c r="P134" s="207">
        <f>D134</f>
        <v>0</v>
      </c>
      <c r="Q134" s="207">
        <f t="shared" si="16"/>
        <v>0</v>
      </c>
      <c r="R134" s="300" t="str">
        <f t="shared" ca="1" si="17"/>
        <v/>
      </c>
      <c r="S134" s="304"/>
      <c r="T134" s="149"/>
      <c r="U134" s="206">
        <f ca="1">IF(OR(AC$8=0,SUM(Z135:AC135)=0),1,IF(L134="l","",SUM(AB135:AC135)))</f>
        <v>1</v>
      </c>
      <c r="V134" s="394"/>
      <c r="W134" s="50"/>
      <c r="Z134"/>
    </row>
    <row r="135" spans="3:29" ht="15" customHeight="1" x14ac:dyDescent="0.15">
      <c r="C135" s="186"/>
      <c r="D135" s="205"/>
      <c r="E135" s="188"/>
      <c r="F135" s="226"/>
      <c r="G135" s="296" t="str">
        <f ca="1">IF(L135="b","",IF(L135="l",0,FIXED(F135,K135,0)&amp;M135))</f>
        <v/>
      </c>
      <c r="H135" s="187"/>
      <c r="I135" s="189"/>
      <c r="K135" s="215"/>
      <c r="L135" t="str">
        <f t="shared" ca="1" si="15"/>
        <v>b</v>
      </c>
      <c r="M135" t="str">
        <f>REPT(" ",3-K135)&amp;IF(K135=0," ","")</f>
        <v xml:space="preserve">    </v>
      </c>
      <c r="O135" s="194"/>
      <c r="P135" s="208">
        <f>IF(ISNUMBER(D135),LOOKUP(D135,$AB$5:$AC$7),D135)</f>
        <v>0</v>
      </c>
      <c r="Q135" s="208">
        <f t="shared" si="16"/>
        <v>0</v>
      </c>
      <c r="R135" s="301" t="str">
        <f t="shared" ca="1" si="17"/>
        <v/>
      </c>
      <c r="S135" s="305">
        <f>H135</f>
        <v>0</v>
      </c>
      <c r="T135" s="150"/>
      <c r="U135" s="216">
        <f ca="1">IF(L135="l","",IF(D135+F135&gt;0,SUM(Z135:AA135),-1))</f>
        <v>-1</v>
      </c>
      <c r="V135" s="395"/>
      <c r="W135" s="107"/>
      <c r="Z135" s="114">
        <f>IF(D135&gt;0,0,TRUNC(F135*T135+Y135*X135))</f>
        <v>0</v>
      </c>
      <c r="AA135" t="b">
        <f>IF($D135=1,SUM(Z$13:Z133)-SUM(AA$13:AA133),IF($D135=2,$AA$6,IF($D135=3,TRUNC($AA$6,-3))))</f>
        <v>0</v>
      </c>
      <c r="AB135">
        <f ca="1">IF(OR(AC$8=0,L134="l",D135&gt;0,U135=-1),0,IF(L134="b",-U135,TRUNC(F134*T135)))</f>
        <v>0</v>
      </c>
      <c r="AC135" t="b">
        <f>IF($D135=1,SUM(AB$13:AB133)-SUM(AC$13:AC133),IF($D135=2,$AA$5,IF($D135=3,TRUNC($AA$5,-3))))</f>
        <v>0</v>
      </c>
    </row>
    <row r="136" spans="3:29" ht="15" customHeight="1" x14ac:dyDescent="0.15">
      <c r="C136" s="182"/>
      <c r="D136" s="210"/>
      <c r="E136" s="184"/>
      <c r="F136" s="227"/>
      <c r="G136" s="297" t="str">
        <f ca="1">IF(OR(AC$8=0,L136="b"),"",IF(L136="l",0,"("&amp;FIXED(-F136,K137,0)&amp;M136))</f>
        <v/>
      </c>
      <c r="H136" s="183"/>
      <c r="I136" s="185"/>
      <c r="L136" t="str">
        <f t="shared" ca="1" si="15"/>
        <v>b</v>
      </c>
      <c r="M136" t="str">
        <f>")"&amp;REPT(" ",2-K137)&amp;IF(K137=0," ","")</f>
        <v xml:space="preserve">)   </v>
      </c>
      <c r="O136" s="194"/>
      <c r="P136" s="207">
        <f>D136</f>
        <v>0</v>
      </c>
      <c r="Q136" s="207">
        <f t="shared" si="16"/>
        <v>0</v>
      </c>
      <c r="R136" s="300" t="str">
        <f t="shared" ca="1" si="17"/>
        <v/>
      </c>
      <c r="S136" s="304"/>
      <c r="T136" s="149"/>
      <c r="U136" s="206">
        <f ca="1">IF(OR(AC$8=0,SUM(Z137:AC137)=0),1,IF(L136="l","",SUM(AB137:AC137)))</f>
        <v>1</v>
      </c>
      <c r="V136" s="394"/>
      <c r="W136" s="50"/>
      <c r="Z136"/>
    </row>
    <row r="137" spans="3:29" ht="15" customHeight="1" x14ac:dyDescent="0.15">
      <c r="C137" s="186"/>
      <c r="D137" s="205"/>
      <c r="E137" s="188"/>
      <c r="F137" s="226"/>
      <c r="G137" s="296" t="str">
        <f ca="1">IF(L137="b","",IF(L137="l",0,FIXED(F137,K137,0)&amp;M137))</f>
        <v/>
      </c>
      <c r="H137" s="187"/>
      <c r="I137" s="189"/>
      <c r="K137" s="215"/>
      <c r="L137" t="str">
        <f t="shared" ca="1" si="15"/>
        <v>b</v>
      </c>
      <c r="M137" t="str">
        <f>REPT(" ",3-K137)&amp;IF(K137=0," ","")</f>
        <v xml:space="preserve">    </v>
      </c>
      <c r="O137" s="194"/>
      <c r="P137" s="208">
        <f>IF(ISNUMBER(D137),LOOKUP(D137,$AB$5:$AC$7),D137)</f>
        <v>0</v>
      </c>
      <c r="Q137" s="208">
        <f t="shared" si="16"/>
        <v>0</v>
      </c>
      <c r="R137" s="301" t="str">
        <f t="shared" ca="1" si="17"/>
        <v/>
      </c>
      <c r="S137" s="305">
        <f>H137</f>
        <v>0</v>
      </c>
      <c r="T137" s="150"/>
      <c r="U137" s="216">
        <f ca="1">IF(L137="l","",IF(D137+F137&gt;0,SUM(Z137:AA137),-1))</f>
        <v>-1</v>
      </c>
      <c r="V137" s="395"/>
      <c r="W137" s="107"/>
      <c r="Z137" s="114">
        <f>IF(D137&gt;0,0,TRUNC(F137*T137+Y137*X137))</f>
        <v>0</v>
      </c>
      <c r="AA137" t="b">
        <f>IF($D137=1,SUM(Z$13:Z135)-SUM(AA$13:AA135),IF($D137=2,$AA$6,IF($D137=3,TRUNC($AA$6,-3))))</f>
        <v>0</v>
      </c>
      <c r="AB137">
        <f ca="1">IF(OR(AC$8=0,L136="l",D137&gt;0,U137=-1),0,IF(L136="b",-U137,TRUNC(F136*T137)))</f>
        <v>0</v>
      </c>
      <c r="AC137" t="b">
        <f>IF($D137=1,SUM(AB$13:AB135)-SUM(AC$13:AC135),IF($D137=2,$AA$5,IF($D137=3,TRUNC($AA$5,-3))))</f>
        <v>0</v>
      </c>
    </row>
    <row r="138" spans="3:29" ht="15" customHeight="1" x14ac:dyDescent="0.15">
      <c r="C138" s="182"/>
      <c r="D138" s="210"/>
      <c r="E138" s="184"/>
      <c r="F138" s="227"/>
      <c r="G138" s="297" t="str">
        <f ca="1">IF(OR(AC$8=0,L138="b"),"",IF(L138="l",0,"("&amp;FIXED(-F138,K139,0)&amp;M138))</f>
        <v/>
      </c>
      <c r="H138" s="183"/>
      <c r="I138" s="185"/>
      <c r="L138" t="str">
        <f t="shared" ca="1" si="15"/>
        <v>b</v>
      </c>
      <c r="M138" t="str">
        <f>")"&amp;REPT(" ",2-K139)&amp;IF(K139=0," ","")</f>
        <v xml:space="preserve">)   </v>
      </c>
      <c r="O138" s="182"/>
      <c r="P138" s="207">
        <f>D138</f>
        <v>0</v>
      </c>
      <c r="Q138" s="207">
        <f t="shared" si="16"/>
        <v>0</v>
      </c>
      <c r="R138" s="300" t="str">
        <f t="shared" ca="1" si="17"/>
        <v/>
      </c>
      <c r="S138" s="304"/>
      <c r="T138" s="149"/>
      <c r="U138" s="206">
        <f ca="1">IF(OR(AC$8=0,SUM(Z139:AC139)=0),1,IF(L138="l","",SUM(AB139:AC139)))</f>
        <v>1</v>
      </c>
      <c r="V138" s="394"/>
      <c r="W138" s="50"/>
      <c r="Z138"/>
    </row>
    <row r="139" spans="3:29" ht="15" customHeight="1" x14ac:dyDescent="0.15">
      <c r="C139" s="186"/>
      <c r="D139" s="205"/>
      <c r="E139" s="188"/>
      <c r="F139" s="226"/>
      <c r="G139" s="296" t="str">
        <f ca="1">IF(L139="b","",IF(L139="l",0,FIXED(F139,K139,0)&amp;M139))</f>
        <v/>
      </c>
      <c r="H139" s="187"/>
      <c r="I139" s="189"/>
      <c r="K139" s="215"/>
      <c r="L139" t="str">
        <f t="shared" ca="1" si="15"/>
        <v>b</v>
      </c>
      <c r="M139" t="str">
        <f>REPT(" ",3-K139)&amp;IF(K139=0," ","")</f>
        <v xml:space="preserve">    </v>
      </c>
      <c r="O139" s="182"/>
      <c r="P139" s="208">
        <f>IF(ISNUMBER(D139),LOOKUP(D139,$AB$5:$AC$7),D139)</f>
        <v>0</v>
      </c>
      <c r="Q139" s="208">
        <f t="shared" si="16"/>
        <v>0</v>
      </c>
      <c r="R139" s="301" t="str">
        <f t="shared" ca="1" si="17"/>
        <v/>
      </c>
      <c r="S139" s="305">
        <f>H139</f>
        <v>0</v>
      </c>
      <c r="T139" s="150"/>
      <c r="U139" s="216">
        <f ca="1">IF(L139="l","",IF(D139+F139&gt;0,SUM(Z139:AA139),-1))</f>
        <v>-1</v>
      </c>
      <c r="V139" s="395"/>
      <c r="W139" s="107"/>
      <c r="Z139" s="114">
        <f>IF(D139&gt;0,0,TRUNC(F139*T139+Y139*X139))</f>
        <v>0</v>
      </c>
      <c r="AA139" t="b">
        <f>IF($D139=1,SUM(Z$13:Z137)-SUM(AA$13:AA137),IF($D139=2,$AA$6,IF($D139=3,TRUNC($AA$6,-3))))</f>
        <v>0</v>
      </c>
      <c r="AB139">
        <f ca="1">IF(OR(AC$8=0,L138="l",D139&gt;0,U139=-1),0,IF(L138="b",-U139,TRUNC(F138*T139)))</f>
        <v>0</v>
      </c>
      <c r="AC139" t="b">
        <f>IF($D139=1,SUM(AB$13:AB137)-SUM(AC$13:AC137),IF($D139=2,$AA$5,IF($D139=3,TRUNC($AA$5,-3))))</f>
        <v>0</v>
      </c>
    </row>
    <row r="140" spans="3:29" ht="15" customHeight="1" x14ac:dyDescent="0.15">
      <c r="C140" s="182"/>
      <c r="D140" s="210"/>
      <c r="E140" s="184"/>
      <c r="F140" s="227"/>
      <c r="G140" s="297" t="str">
        <f ca="1">IF(OR(AC$8=0,L140="b"),"",IF(L140="l",0,"("&amp;FIXED(-F140,K141,0)&amp;M140))</f>
        <v/>
      </c>
      <c r="H140" s="183"/>
      <c r="I140" s="185"/>
      <c r="L140" t="str">
        <f t="shared" ca="1" si="15"/>
        <v>b</v>
      </c>
      <c r="M140" t="str">
        <f>")"&amp;REPT(" ",2-K141)&amp;IF(K141=0," ","")</f>
        <v xml:space="preserve">)   </v>
      </c>
      <c r="O140" s="182"/>
      <c r="P140" s="207">
        <f>D140</f>
        <v>0</v>
      </c>
      <c r="Q140" s="207">
        <f t="shared" si="16"/>
        <v>0</v>
      </c>
      <c r="R140" s="300" t="str">
        <f t="shared" ca="1" si="17"/>
        <v/>
      </c>
      <c r="S140" s="304"/>
      <c r="T140" s="149"/>
      <c r="U140" s="206">
        <f ca="1">IF(OR(AC$8=0,SUM(Z141:AC141)=0),1,IF(L140="l","",SUM(AB141:AC141)))</f>
        <v>1</v>
      </c>
      <c r="V140" s="394"/>
      <c r="W140" s="50"/>
      <c r="Z140"/>
    </row>
    <row r="141" spans="3:29" ht="15" customHeight="1" x14ac:dyDescent="0.15">
      <c r="C141" s="186"/>
      <c r="D141" s="205"/>
      <c r="E141" s="188"/>
      <c r="F141" s="226"/>
      <c r="G141" s="296" t="str">
        <f ca="1">IF(L141="b","",IF(L141="l",0,FIXED(F141,K141,0)&amp;M141))</f>
        <v/>
      </c>
      <c r="H141" s="187"/>
      <c r="I141" s="189"/>
      <c r="K141" s="215"/>
      <c r="L141" t="str">
        <f t="shared" ca="1" si="15"/>
        <v>b</v>
      </c>
      <c r="M141" t="str">
        <f>REPT(" ",3-K141)&amp;IF(K141=0," ","")</f>
        <v xml:space="preserve">    </v>
      </c>
      <c r="O141" s="182"/>
      <c r="P141" s="208">
        <f>IF(ISNUMBER(D141),LOOKUP(D141,$AB$5:$AC$7),D141)</f>
        <v>0</v>
      </c>
      <c r="Q141" s="208">
        <f t="shared" si="16"/>
        <v>0</v>
      </c>
      <c r="R141" s="301" t="str">
        <f t="shared" ca="1" si="17"/>
        <v/>
      </c>
      <c r="S141" s="305">
        <f>H141</f>
        <v>0</v>
      </c>
      <c r="T141" s="150"/>
      <c r="U141" s="216">
        <f ca="1">IF(L141="l","",IF(D141+F141&gt;0,SUM(Z141:AA141),-1))</f>
        <v>-1</v>
      </c>
      <c r="V141" s="395"/>
      <c r="W141" s="107"/>
      <c r="Z141" s="114">
        <f>IF(D141&gt;0,0,TRUNC(F141*T141+Y141*X141))</f>
        <v>0</v>
      </c>
      <c r="AA141" t="b">
        <f>IF($D141=1,SUM(Z$13:Z139)-SUM(AA$13:AA139),IF($D141=2,$AA$6,IF($D141=3,TRUNC($AA$6,-3))))</f>
        <v>0</v>
      </c>
      <c r="AB141">
        <f ca="1">IF(OR(AC$8=0,L140="l",D141&gt;0,U141=-1),0,IF(L140="b",-U141,TRUNC(F140*T141)))</f>
        <v>0</v>
      </c>
      <c r="AC141" t="b">
        <f>IF($D141=1,SUM(AB$13:AB139)-SUM(AC$13:AC139),IF($D141=2,$AA$5,IF($D141=3,TRUNC($AA$5,-3))))</f>
        <v>0</v>
      </c>
    </row>
    <row r="142" spans="3:29" ht="15" customHeight="1" x14ac:dyDescent="0.15">
      <c r="C142" s="182"/>
      <c r="D142" s="210"/>
      <c r="E142" s="184"/>
      <c r="F142" s="227"/>
      <c r="G142" s="297" t="str">
        <f ca="1">IF(OR(AC$8=0,L142="b"),"",IF(L142="l",0,"("&amp;FIXED(-F142,K143,0)&amp;M142))</f>
        <v/>
      </c>
      <c r="H142" s="183"/>
      <c r="I142" s="185"/>
      <c r="L142" t="str">
        <f ca="1">CELL("type",F142)</f>
        <v>b</v>
      </c>
      <c r="M142" t="str">
        <f>")"&amp;REPT(" ",2-K143)&amp;IF(K143=0," ","")</f>
        <v xml:space="preserve">)   </v>
      </c>
      <c r="O142" s="182"/>
      <c r="P142" s="207">
        <f>D142</f>
        <v>0</v>
      </c>
      <c r="Q142" s="207">
        <f>E142</f>
        <v>0</v>
      </c>
      <c r="R142" s="300" t="str">
        <f ca="1">G142</f>
        <v/>
      </c>
      <c r="S142" s="304"/>
      <c r="T142" s="149"/>
      <c r="U142" s="206">
        <f ca="1">IF(OR(AC$8=0,SUM(Z143:AC143)=0),1,IF(L142="l","",SUM(AB143:AC143)))</f>
        <v>1</v>
      </c>
      <c r="V142" s="394"/>
      <c r="W142" s="50"/>
      <c r="Z142"/>
    </row>
    <row r="143" spans="3:29" ht="15" customHeight="1" thickBot="1" x14ac:dyDescent="0.2">
      <c r="C143" s="190"/>
      <c r="D143" s="211"/>
      <c r="E143" s="192"/>
      <c r="F143" s="228"/>
      <c r="G143" s="299" t="str">
        <f ca="1">IF(L143="b","",IF(L143="l",0,FIXED(F143,K143,0)&amp;M143))</f>
        <v/>
      </c>
      <c r="H143" s="191"/>
      <c r="I143" s="193"/>
      <c r="K143" s="215"/>
      <c r="L143" t="str">
        <f ca="1">CELL("type",F143)</f>
        <v>b</v>
      </c>
      <c r="M143" t="str">
        <f>REPT(" ",3-K143)&amp;IF(K143=0," ","")</f>
        <v xml:space="preserve">    </v>
      </c>
      <c r="O143" s="190"/>
      <c r="P143" s="209">
        <f>IF(ISNUMBER(D143),LOOKUP(D143,$AB$5:$AC$7),D143)</f>
        <v>0</v>
      </c>
      <c r="Q143" s="209">
        <f>E143</f>
        <v>0</v>
      </c>
      <c r="R143" s="302" t="str">
        <f ca="1">G143</f>
        <v/>
      </c>
      <c r="S143" s="306">
        <f>H143</f>
        <v>0</v>
      </c>
      <c r="T143" s="151"/>
      <c r="U143" s="217">
        <f ca="1">IF(L143="l","",IF(D143+F143&gt;0,SUM(Z143:AA143),-1))</f>
        <v>-1</v>
      </c>
      <c r="V143" s="396"/>
      <c r="W143" s="55"/>
      <c r="Z143" s="114">
        <f>IF(D143&gt;0,0,TRUNC(F143*T143+Y143*X143))</f>
        <v>0</v>
      </c>
      <c r="AA143" t="b">
        <f>IF($D143=1,SUM(Z$13:Z141)-SUM(AA$13:AA141),IF($D143=2,$AA$6,IF($D143=3,TRUNC($AA$6,-3))))</f>
        <v>0</v>
      </c>
      <c r="AB143">
        <f ca="1">IF(OR(AC$8=0,L142="l",D143&gt;0,U143=-1),0,IF(L142="b",-U143,TRUNC(F142*T143)))</f>
        <v>0</v>
      </c>
      <c r="AC143" t="b">
        <f>IF($D143=1,SUM(AB$13:AB141)-SUM(AC$13:AC141),IF($D143=2,$AA$5,IF($D143=3,TRUNC($AA$5,-3))))</f>
        <v>0</v>
      </c>
    </row>
  </sheetData>
  <mergeCells count="4">
    <mergeCell ref="V9:V11"/>
    <mergeCell ref="O9:O11"/>
    <mergeCell ref="O75:O77"/>
    <mergeCell ref="V75:V77"/>
  </mergeCells>
  <phoneticPr fontId="8"/>
  <conditionalFormatting sqref="O19 O129 O131 O47:O48 O93 O33 O45 O39 O41 O71 O73 O23 O31 O133 O17 O26 O135 O137 O139 O141 O143 O67 O13 O21 O15 O43 O69 O119 O83 O85 O87 O89 O91 O79:O80 O95 O97 O99 O101 O103 O105 O107 O109 O111 O113 O115 O117 O57 O121 O123 O125 O127 O51 O53 O55 O59 O61 O63 O65">
    <cfRule type="expression" dxfId="0" priority="1" stopIfTrue="1">
      <formula>D13=1</formula>
    </cfRule>
  </conditionalFormatting>
  <dataValidations count="1">
    <dataValidation imeMode="off" showInputMessage="1" showErrorMessage="1" promptTitle="警告" prompt="計算式が設定されています_x000a_入力を続けますか?" sqref="G78:G143 G12:G73" xr:uid="{00000000-0002-0000-1400-000000000000}"/>
  </dataValidations>
  <pageMargins left="0.70866141732283472" right="0.19685039370078741" top="0.59055118110236227" bottom="0.59055118110236227" header="0" footer="0"/>
  <pageSetup paperSize="9" scale="80"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M76"/>
  <sheetViews>
    <sheetView view="pageBreakPreview" zoomScale="60" zoomScaleNormal="100" workbookViewId="0">
      <selection activeCell="J46" sqref="J46:M46"/>
    </sheetView>
  </sheetViews>
  <sheetFormatPr defaultRowHeight="13.5" x14ac:dyDescent="0.15"/>
  <cols>
    <col min="1" max="1" width="3.125" style="731" customWidth="1" collapsed="1"/>
    <col min="2" max="2" width="7.375" style="464" customWidth="1" collapsed="1"/>
    <col min="3" max="3" width="11.25" style="464" customWidth="1" collapsed="1"/>
    <col min="4" max="4" width="12.625" style="464" customWidth="1" collapsed="1"/>
    <col min="5" max="5" width="8.125" style="464" customWidth="1" collapsed="1"/>
    <col min="6" max="6" width="9.25" style="464" customWidth="1" collapsed="1"/>
    <col min="7" max="9" width="16.875" style="464" customWidth="1" collapsed="1"/>
    <col min="10" max="10" width="17.5" style="464" customWidth="1" collapsed="1"/>
    <col min="11" max="12" width="6.625" style="464" customWidth="1" collapsed="1"/>
    <col min="13" max="13" width="10" style="464" customWidth="1" collapsed="1"/>
    <col min="14" max="16384" width="9" style="464" collapsed="1"/>
  </cols>
  <sheetData>
    <row r="1" spans="1:13" ht="15.75" customHeight="1" x14ac:dyDescent="0.15">
      <c r="A1" s="801" t="s">
        <v>830</v>
      </c>
      <c r="B1" s="801"/>
      <c r="C1" s="801"/>
      <c r="D1" s="801"/>
      <c r="E1" s="801"/>
      <c r="F1" s="801"/>
      <c r="G1" s="801"/>
      <c r="H1" s="801"/>
      <c r="I1" s="801"/>
    </row>
    <row r="2" spans="1:13" ht="15.75" customHeight="1" x14ac:dyDescent="0.15">
      <c r="A2" s="703" t="s">
        <v>831</v>
      </c>
      <c r="B2" s="704" t="s">
        <v>832</v>
      </c>
      <c r="C2" s="329" t="s">
        <v>833</v>
      </c>
      <c r="D2" s="802" t="s">
        <v>834</v>
      </c>
      <c r="E2" s="802"/>
      <c r="F2" s="802"/>
      <c r="G2" s="802"/>
      <c r="H2" s="802"/>
      <c r="I2" s="802"/>
      <c r="J2" s="802"/>
      <c r="K2" s="705" t="s">
        <v>835</v>
      </c>
      <c r="L2" s="706" t="s">
        <v>99</v>
      </c>
      <c r="M2" s="707"/>
    </row>
    <row r="3" spans="1:13" ht="15.75" customHeight="1" x14ac:dyDescent="0.15">
      <c r="A3" s="803" t="s">
        <v>830</v>
      </c>
      <c r="B3" s="804"/>
      <c r="C3" s="804"/>
      <c r="D3" s="804"/>
      <c r="E3" s="708"/>
      <c r="F3" s="708"/>
      <c r="G3" s="708"/>
      <c r="H3" s="708"/>
      <c r="I3" s="805" t="s">
        <v>836</v>
      </c>
      <c r="J3" s="805"/>
      <c r="K3" s="805"/>
      <c r="L3" s="805"/>
      <c r="M3" s="806"/>
    </row>
    <row r="4" spans="1:13" s="710" customFormat="1" ht="15.75" customHeight="1" x14ac:dyDescent="0.15">
      <c r="A4" s="807" t="s">
        <v>837</v>
      </c>
      <c r="B4" s="807"/>
      <c r="C4" s="807"/>
      <c r="D4" s="807"/>
      <c r="E4" s="807"/>
      <c r="F4" s="709" t="s">
        <v>838</v>
      </c>
      <c r="G4" s="709" t="s">
        <v>839</v>
      </c>
      <c r="H4" s="709" t="s">
        <v>840</v>
      </c>
      <c r="I4" s="709" t="s">
        <v>841</v>
      </c>
      <c r="J4" s="808" t="s">
        <v>842</v>
      </c>
      <c r="K4" s="808"/>
      <c r="L4" s="808"/>
      <c r="M4" s="808"/>
    </row>
    <row r="5" spans="1:13" ht="15.75" customHeight="1" x14ac:dyDescent="0.15">
      <c r="A5" s="795" t="s">
        <v>843</v>
      </c>
      <c r="B5" s="796"/>
      <c r="C5" s="796"/>
      <c r="D5" s="796"/>
      <c r="E5" s="797"/>
      <c r="F5" s="711"/>
      <c r="G5" s="712"/>
      <c r="H5" s="713"/>
      <c r="I5" s="714"/>
      <c r="J5" s="800" t="s">
        <v>874</v>
      </c>
      <c r="K5" s="800"/>
      <c r="L5" s="800"/>
      <c r="M5" s="809"/>
    </row>
    <row r="6" spans="1:13" ht="15.75" customHeight="1" x14ac:dyDescent="0.15">
      <c r="A6" s="784" t="s">
        <v>830</v>
      </c>
      <c r="B6" s="785"/>
      <c r="C6" s="785"/>
      <c r="D6" s="785"/>
      <c r="E6" s="786"/>
      <c r="F6" s="715" t="s">
        <v>844</v>
      </c>
      <c r="G6" s="716"/>
      <c r="H6" s="717"/>
      <c r="I6" s="718"/>
      <c r="J6" s="787"/>
      <c r="K6" s="788"/>
      <c r="L6" s="788"/>
      <c r="M6" s="789"/>
    </row>
    <row r="7" spans="1:13" ht="15.75" customHeight="1" x14ac:dyDescent="0.15">
      <c r="A7" s="784" t="s">
        <v>845</v>
      </c>
      <c r="B7" s="785"/>
      <c r="C7" s="785"/>
      <c r="D7" s="785"/>
      <c r="E7" s="786"/>
      <c r="F7" s="715"/>
      <c r="G7" s="719"/>
      <c r="H7" s="720"/>
      <c r="I7" s="721"/>
      <c r="J7" s="787"/>
      <c r="K7" s="788"/>
      <c r="L7" s="788"/>
      <c r="M7" s="789"/>
    </row>
    <row r="8" spans="1:13" ht="15.75" customHeight="1" x14ac:dyDescent="0.15">
      <c r="A8" s="790" t="s">
        <v>830</v>
      </c>
      <c r="B8" s="791"/>
      <c r="C8" s="791"/>
      <c r="D8" s="791"/>
      <c r="E8" s="792"/>
      <c r="F8" s="722"/>
      <c r="G8" s="723">
        <v>5</v>
      </c>
      <c r="H8" s="724"/>
      <c r="I8" s="725"/>
      <c r="J8" s="793"/>
      <c r="K8" s="793"/>
      <c r="L8" s="793"/>
      <c r="M8" s="794"/>
    </row>
    <row r="9" spans="1:13" ht="15.75" customHeight="1" x14ac:dyDescent="0.15">
      <c r="A9" s="795" t="s">
        <v>846</v>
      </c>
      <c r="B9" s="796"/>
      <c r="C9" s="796"/>
      <c r="D9" s="796"/>
      <c r="E9" s="797"/>
      <c r="F9" s="711"/>
      <c r="G9" s="712"/>
      <c r="H9" s="713"/>
      <c r="I9" s="714"/>
      <c r="J9" s="800" t="s">
        <v>875</v>
      </c>
      <c r="K9" s="800"/>
      <c r="L9" s="800"/>
      <c r="M9" s="809"/>
    </row>
    <row r="10" spans="1:13" ht="15.75" customHeight="1" x14ac:dyDescent="0.15">
      <c r="A10" s="784" t="s">
        <v>830</v>
      </c>
      <c r="B10" s="785"/>
      <c r="C10" s="785"/>
      <c r="D10" s="785"/>
      <c r="E10" s="786"/>
      <c r="F10" s="715" t="s">
        <v>326</v>
      </c>
      <c r="G10" s="716"/>
      <c r="H10" s="717"/>
      <c r="I10" s="718"/>
      <c r="J10" s="787"/>
      <c r="K10" s="788"/>
      <c r="L10" s="788"/>
      <c r="M10" s="789"/>
    </row>
    <row r="11" spans="1:13" ht="15.75" customHeight="1" x14ac:dyDescent="0.15">
      <c r="A11" s="784" t="s">
        <v>847</v>
      </c>
      <c r="B11" s="785"/>
      <c r="C11" s="785"/>
      <c r="D11" s="785"/>
      <c r="E11" s="786"/>
      <c r="F11" s="715"/>
      <c r="G11" s="719"/>
      <c r="H11" s="720"/>
      <c r="I11" s="721"/>
      <c r="J11" s="787"/>
      <c r="K11" s="788"/>
      <c r="L11" s="788"/>
      <c r="M11" s="789"/>
    </row>
    <row r="12" spans="1:13" ht="15.75" customHeight="1" x14ac:dyDescent="0.15">
      <c r="A12" s="790" t="s">
        <v>830</v>
      </c>
      <c r="B12" s="791"/>
      <c r="C12" s="791"/>
      <c r="D12" s="791"/>
      <c r="E12" s="792"/>
      <c r="F12" s="722"/>
      <c r="G12" s="723">
        <v>5</v>
      </c>
      <c r="H12" s="724"/>
      <c r="I12" s="725"/>
      <c r="J12" s="793"/>
      <c r="K12" s="793"/>
      <c r="L12" s="793"/>
      <c r="M12" s="794"/>
    </row>
    <row r="13" spans="1:13" ht="15.75" customHeight="1" x14ac:dyDescent="0.15">
      <c r="A13" s="795" t="s">
        <v>848</v>
      </c>
      <c r="B13" s="796"/>
      <c r="C13" s="796"/>
      <c r="D13" s="796"/>
      <c r="E13" s="797"/>
      <c r="F13" s="711"/>
      <c r="G13" s="712"/>
      <c r="H13" s="713"/>
      <c r="I13" s="714"/>
      <c r="J13" s="800" t="s">
        <v>876</v>
      </c>
      <c r="K13" s="798"/>
      <c r="L13" s="798"/>
      <c r="M13" s="799"/>
    </row>
    <row r="14" spans="1:13" ht="15.75" customHeight="1" x14ac:dyDescent="0.15">
      <c r="A14" s="784" t="s">
        <v>830</v>
      </c>
      <c r="B14" s="785"/>
      <c r="C14" s="785"/>
      <c r="D14" s="785"/>
      <c r="E14" s="786"/>
      <c r="F14" s="715" t="s">
        <v>844</v>
      </c>
      <c r="G14" s="716"/>
      <c r="H14" s="717"/>
      <c r="I14" s="718"/>
      <c r="J14" s="787"/>
      <c r="K14" s="788"/>
      <c r="L14" s="788"/>
      <c r="M14" s="789"/>
    </row>
    <row r="15" spans="1:13" ht="15.75" customHeight="1" x14ac:dyDescent="0.15">
      <c r="A15" s="784" t="s">
        <v>849</v>
      </c>
      <c r="B15" s="785"/>
      <c r="C15" s="785"/>
      <c r="D15" s="785"/>
      <c r="E15" s="786"/>
      <c r="F15" s="715"/>
      <c r="G15" s="719"/>
      <c r="H15" s="720"/>
      <c r="I15" s="721"/>
      <c r="J15" s="787"/>
      <c r="K15" s="788"/>
      <c r="L15" s="788"/>
      <c r="M15" s="789"/>
    </row>
    <row r="16" spans="1:13" ht="15.75" customHeight="1" x14ac:dyDescent="0.15">
      <c r="A16" s="790" t="s">
        <v>830</v>
      </c>
      <c r="B16" s="791"/>
      <c r="C16" s="791"/>
      <c r="D16" s="791"/>
      <c r="E16" s="792"/>
      <c r="F16" s="722"/>
      <c r="G16" s="723">
        <v>5</v>
      </c>
      <c r="H16" s="724"/>
      <c r="I16" s="725"/>
      <c r="J16" s="793"/>
      <c r="K16" s="793"/>
      <c r="L16" s="793"/>
      <c r="M16" s="794"/>
    </row>
    <row r="17" spans="1:13" ht="15.75" customHeight="1" x14ac:dyDescent="0.15">
      <c r="A17" s="795"/>
      <c r="B17" s="796"/>
      <c r="C17" s="796"/>
      <c r="D17" s="796"/>
      <c r="E17" s="797"/>
      <c r="F17" s="711"/>
      <c r="G17" s="712"/>
      <c r="H17" s="713"/>
      <c r="I17" s="714"/>
      <c r="J17" s="798"/>
      <c r="K17" s="798"/>
      <c r="L17" s="798"/>
      <c r="M17" s="799"/>
    </row>
    <row r="18" spans="1:13" ht="15.75" customHeight="1" x14ac:dyDescent="0.15">
      <c r="A18" s="784"/>
      <c r="B18" s="785"/>
      <c r="C18" s="785"/>
      <c r="D18" s="785"/>
      <c r="E18" s="786"/>
      <c r="F18" s="715"/>
      <c r="G18" s="716"/>
      <c r="H18" s="717"/>
      <c r="I18" s="718"/>
      <c r="J18" s="787"/>
      <c r="K18" s="788"/>
      <c r="L18" s="788"/>
      <c r="M18" s="789"/>
    </row>
    <row r="19" spans="1:13" ht="15.75" customHeight="1" x14ac:dyDescent="0.15">
      <c r="A19" s="784" t="s">
        <v>850</v>
      </c>
      <c r="B19" s="785"/>
      <c r="C19" s="785"/>
      <c r="D19" s="785"/>
      <c r="E19" s="786"/>
      <c r="F19" s="715"/>
      <c r="G19" s="719"/>
      <c r="H19" s="720"/>
      <c r="I19" s="721"/>
      <c r="J19" s="787"/>
      <c r="K19" s="788"/>
      <c r="L19" s="788"/>
      <c r="M19" s="789"/>
    </row>
    <row r="20" spans="1:13" ht="15.75" customHeight="1" x14ac:dyDescent="0.15">
      <c r="A20" s="790" t="s">
        <v>830</v>
      </c>
      <c r="B20" s="791"/>
      <c r="C20" s="791"/>
      <c r="D20" s="791"/>
      <c r="E20" s="792"/>
      <c r="F20" s="722"/>
      <c r="G20" s="723"/>
      <c r="H20" s="724"/>
      <c r="I20" s="725"/>
      <c r="J20" s="793"/>
      <c r="K20" s="793"/>
      <c r="L20" s="793"/>
      <c r="M20" s="794"/>
    </row>
    <row r="21" spans="1:13" ht="15.75" customHeight="1" x14ac:dyDescent="0.15">
      <c r="A21" s="801"/>
      <c r="B21" s="801"/>
      <c r="C21" s="801"/>
      <c r="D21" s="801"/>
      <c r="E21" s="801"/>
      <c r="F21" s="801"/>
      <c r="G21" s="801"/>
      <c r="H21" s="801"/>
      <c r="I21" s="801"/>
    </row>
    <row r="22" spans="1:13" ht="15.75" customHeight="1" x14ac:dyDescent="0.15">
      <c r="A22" s="703" t="s">
        <v>851</v>
      </c>
      <c r="B22" s="704" t="s">
        <v>852</v>
      </c>
      <c r="C22" s="329" t="s">
        <v>853</v>
      </c>
      <c r="D22" s="802" t="s">
        <v>854</v>
      </c>
      <c r="E22" s="802"/>
      <c r="F22" s="802"/>
      <c r="G22" s="802"/>
      <c r="H22" s="802"/>
      <c r="I22" s="802"/>
      <c r="J22" s="802"/>
      <c r="K22" s="705" t="s">
        <v>835</v>
      </c>
      <c r="L22" s="706" t="s">
        <v>99</v>
      </c>
      <c r="M22" s="707"/>
    </row>
    <row r="23" spans="1:13" ht="15.75" customHeight="1" x14ac:dyDescent="0.15">
      <c r="A23" s="803" t="s">
        <v>830</v>
      </c>
      <c r="B23" s="804"/>
      <c r="C23" s="804"/>
      <c r="D23" s="804"/>
      <c r="E23" s="708"/>
      <c r="F23" s="708"/>
      <c r="G23" s="708"/>
      <c r="H23" s="708"/>
      <c r="I23" s="805" t="s">
        <v>836</v>
      </c>
      <c r="J23" s="805"/>
      <c r="K23" s="805"/>
      <c r="L23" s="805"/>
      <c r="M23" s="806"/>
    </row>
    <row r="24" spans="1:13" ht="15.75" customHeight="1" x14ac:dyDescent="0.15">
      <c r="A24" s="807" t="s">
        <v>855</v>
      </c>
      <c r="B24" s="807"/>
      <c r="C24" s="807"/>
      <c r="D24" s="807"/>
      <c r="E24" s="807"/>
      <c r="F24" s="709" t="s">
        <v>856</v>
      </c>
      <c r="G24" s="709" t="s">
        <v>857</v>
      </c>
      <c r="H24" s="709" t="s">
        <v>858</v>
      </c>
      <c r="I24" s="709" t="s">
        <v>94</v>
      </c>
      <c r="J24" s="808" t="s">
        <v>859</v>
      </c>
      <c r="K24" s="808"/>
      <c r="L24" s="808"/>
      <c r="M24" s="808"/>
    </row>
    <row r="25" spans="1:13" ht="15.75" customHeight="1" x14ac:dyDescent="0.15">
      <c r="A25" s="795" t="s">
        <v>40</v>
      </c>
      <c r="B25" s="796"/>
      <c r="C25" s="796"/>
      <c r="D25" s="796"/>
      <c r="E25" s="797"/>
      <c r="F25" s="711"/>
      <c r="G25" s="712"/>
      <c r="H25" s="713"/>
      <c r="I25" s="714" t="s">
        <v>830</v>
      </c>
      <c r="J25" s="798"/>
      <c r="K25" s="798"/>
      <c r="L25" s="798"/>
      <c r="M25" s="799"/>
    </row>
    <row r="26" spans="1:13" ht="15.75" customHeight="1" x14ac:dyDescent="0.15">
      <c r="A26" s="784" t="s">
        <v>830</v>
      </c>
      <c r="B26" s="785"/>
      <c r="C26" s="785"/>
      <c r="D26" s="785"/>
      <c r="E26" s="786"/>
      <c r="F26" s="715" t="s">
        <v>860</v>
      </c>
      <c r="G26" s="716"/>
      <c r="H26" s="717"/>
      <c r="I26" s="718"/>
      <c r="J26" s="787" t="s">
        <v>830</v>
      </c>
      <c r="K26" s="788"/>
      <c r="L26" s="788"/>
      <c r="M26" s="789"/>
    </row>
    <row r="27" spans="1:13" ht="15.75" customHeight="1" x14ac:dyDescent="0.15">
      <c r="A27" s="784" t="s">
        <v>861</v>
      </c>
      <c r="B27" s="785"/>
      <c r="C27" s="785"/>
      <c r="D27" s="785"/>
      <c r="E27" s="786"/>
      <c r="F27" s="715"/>
      <c r="G27" s="719"/>
      <c r="H27" s="720"/>
      <c r="I27" s="721" t="s">
        <v>830</v>
      </c>
      <c r="J27" s="787" t="s">
        <v>830</v>
      </c>
      <c r="K27" s="788"/>
      <c r="L27" s="788"/>
      <c r="M27" s="789"/>
    </row>
    <row r="28" spans="1:13" ht="15.75" customHeight="1" x14ac:dyDescent="0.15">
      <c r="A28" s="790" t="s">
        <v>830</v>
      </c>
      <c r="B28" s="791"/>
      <c r="C28" s="791"/>
      <c r="D28" s="791"/>
      <c r="E28" s="792"/>
      <c r="F28" s="722"/>
      <c r="G28" s="732">
        <v>17</v>
      </c>
      <c r="H28" s="726"/>
      <c r="I28" s="727"/>
      <c r="J28" s="793" t="s">
        <v>830</v>
      </c>
      <c r="K28" s="793"/>
      <c r="L28" s="793"/>
      <c r="M28" s="794"/>
    </row>
    <row r="29" spans="1:13" ht="15.75" customHeight="1" x14ac:dyDescent="0.15">
      <c r="A29" s="795" t="s">
        <v>41</v>
      </c>
      <c r="B29" s="796"/>
      <c r="C29" s="796"/>
      <c r="D29" s="796"/>
      <c r="E29" s="797"/>
      <c r="F29" s="711"/>
      <c r="G29" s="712"/>
      <c r="H29" s="713"/>
      <c r="I29" s="714" t="s">
        <v>830</v>
      </c>
      <c r="J29" s="798"/>
      <c r="K29" s="798"/>
      <c r="L29" s="798"/>
      <c r="M29" s="799"/>
    </row>
    <row r="30" spans="1:13" ht="15.75" customHeight="1" x14ac:dyDescent="0.15">
      <c r="A30" s="784" t="s">
        <v>830</v>
      </c>
      <c r="B30" s="785"/>
      <c r="C30" s="785"/>
      <c r="D30" s="785"/>
      <c r="E30" s="786"/>
      <c r="F30" s="715" t="s">
        <v>860</v>
      </c>
      <c r="G30" s="716"/>
      <c r="H30" s="717"/>
      <c r="I30" s="718"/>
      <c r="J30" s="787" t="s">
        <v>830</v>
      </c>
      <c r="K30" s="788"/>
      <c r="L30" s="788"/>
      <c r="M30" s="789"/>
    </row>
    <row r="31" spans="1:13" ht="15.75" customHeight="1" x14ac:dyDescent="0.15">
      <c r="A31" s="784" t="s">
        <v>861</v>
      </c>
      <c r="B31" s="785"/>
      <c r="C31" s="785"/>
      <c r="D31" s="785"/>
      <c r="E31" s="786"/>
      <c r="F31" s="715"/>
      <c r="G31" s="719"/>
      <c r="H31" s="720"/>
      <c r="I31" s="721" t="s">
        <v>830</v>
      </c>
      <c r="J31" s="787" t="s">
        <v>830</v>
      </c>
      <c r="K31" s="788"/>
      <c r="L31" s="788"/>
      <c r="M31" s="789"/>
    </row>
    <row r="32" spans="1:13" ht="15.75" customHeight="1" x14ac:dyDescent="0.15">
      <c r="A32" s="790" t="s">
        <v>830</v>
      </c>
      <c r="B32" s="791"/>
      <c r="C32" s="791"/>
      <c r="D32" s="791"/>
      <c r="E32" s="792"/>
      <c r="F32" s="722"/>
      <c r="G32" s="733">
        <v>27</v>
      </c>
      <c r="H32" s="726"/>
      <c r="I32" s="727"/>
      <c r="J32" s="793" t="s">
        <v>830</v>
      </c>
      <c r="K32" s="793"/>
      <c r="L32" s="793"/>
      <c r="M32" s="794"/>
    </row>
    <row r="33" spans="1:13" ht="15.75" customHeight="1" x14ac:dyDescent="0.15">
      <c r="A33" s="795"/>
      <c r="B33" s="796"/>
      <c r="C33" s="796"/>
      <c r="D33" s="796"/>
      <c r="E33" s="797"/>
      <c r="F33" s="711"/>
      <c r="G33" s="712"/>
      <c r="H33" s="713"/>
      <c r="I33" s="714"/>
      <c r="J33" s="798"/>
      <c r="K33" s="798"/>
      <c r="L33" s="798"/>
      <c r="M33" s="799"/>
    </row>
    <row r="34" spans="1:13" ht="15.75" customHeight="1" x14ac:dyDescent="0.15">
      <c r="A34" s="784"/>
      <c r="B34" s="785"/>
      <c r="C34" s="785"/>
      <c r="D34" s="785"/>
      <c r="E34" s="786"/>
      <c r="F34" s="715"/>
      <c r="G34" s="716"/>
      <c r="H34" s="717"/>
      <c r="I34" s="718"/>
      <c r="J34" s="787"/>
      <c r="K34" s="788"/>
      <c r="L34" s="788"/>
      <c r="M34" s="789"/>
    </row>
    <row r="35" spans="1:13" ht="15.75" customHeight="1" x14ac:dyDescent="0.15">
      <c r="A35" s="784"/>
      <c r="B35" s="785"/>
      <c r="C35" s="785"/>
      <c r="D35" s="785"/>
      <c r="E35" s="786"/>
      <c r="F35" s="715"/>
      <c r="G35" s="719"/>
      <c r="H35" s="720"/>
      <c r="I35" s="721"/>
      <c r="J35" s="787"/>
      <c r="K35" s="788"/>
      <c r="L35" s="788"/>
      <c r="M35" s="789"/>
    </row>
    <row r="36" spans="1:13" ht="15.75" customHeight="1" x14ac:dyDescent="0.15">
      <c r="A36" s="790"/>
      <c r="B36" s="791"/>
      <c r="C36" s="791"/>
      <c r="D36" s="791"/>
      <c r="E36" s="792"/>
      <c r="F36" s="722"/>
      <c r="G36" s="723"/>
      <c r="H36" s="724"/>
      <c r="I36" s="725"/>
      <c r="J36" s="793"/>
      <c r="K36" s="793"/>
      <c r="L36" s="793"/>
      <c r="M36" s="794"/>
    </row>
    <row r="37" spans="1:13" ht="15.75" customHeight="1" x14ac:dyDescent="0.15">
      <c r="A37" s="795" t="s">
        <v>862</v>
      </c>
      <c r="B37" s="796"/>
      <c r="C37" s="796"/>
      <c r="D37" s="796"/>
      <c r="E37" s="797"/>
      <c r="F37" s="711"/>
      <c r="G37" s="712"/>
      <c r="H37" s="713"/>
      <c r="I37" s="714" t="s">
        <v>830</v>
      </c>
      <c r="J37" s="798" t="s">
        <v>830</v>
      </c>
      <c r="K37" s="798"/>
      <c r="L37" s="798"/>
      <c r="M37" s="799"/>
    </row>
    <row r="38" spans="1:13" ht="15.75" customHeight="1" x14ac:dyDescent="0.15">
      <c r="A38" s="784" t="s">
        <v>830</v>
      </c>
      <c r="B38" s="785"/>
      <c r="C38" s="785"/>
      <c r="D38" s="785"/>
      <c r="E38" s="786"/>
      <c r="F38" s="715" t="s">
        <v>830</v>
      </c>
      <c r="G38" s="716"/>
      <c r="H38" s="717"/>
      <c r="I38" s="718"/>
      <c r="J38" s="787" t="s">
        <v>830</v>
      </c>
      <c r="K38" s="788"/>
      <c r="L38" s="788"/>
      <c r="M38" s="789"/>
    </row>
    <row r="39" spans="1:13" ht="15.75" customHeight="1" x14ac:dyDescent="0.15">
      <c r="A39" s="784" t="s">
        <v>850</v>
      </c>
      <c r="B39" s="785"/>
      <c r="C39" s="785"/>
      <c r="D39" s="785"/>
      <c r="E39" s="786"/>
      <c r="F39" s="715"/>
      <c r="G39" s="719"/>
      <c r="H39" s="720"/>
      <c r="I39" s="721" t="s">
        <v>830</v>
      </c>
      <c r="J39" s="787" t="s">
        <v>830</v>
      </c>
      <c r="K39" s="788"/>
      <c r="L39" s="788"/>
      <c r="M39" s="789"/>
    </row>
    <row r="40" spans="1:13" ht="15.75" customHeight="1" x14ac:dyDescent="0.15">
      <c r="A40" s="790" t="s">
        <v>830</v>
      </c>
      <c r="B40" s="791"/>
      <c r="C40" s="791"/>
      <c r="D40" s="791"/>
      <c r="E40" s="792"/>
      <c r="F40" s="722"/>
      <c r="G40" s="723"/>
      <c r="H40" s="724"/>
      <c r="I40" s="727"/>
      <c r="J40" s="793" t="s">
        <v>830</v>
      </c>
      <c r="K40" s="793"/>
      <c r="L40" s="793"/>
      <c r="M40" s="794"/>
    </row>
    <row r="41" spans="1:13" ht="15.75" customHeight="1" x14ac:dyDescent="0.15">
      <c r="A41" s="801"/>
      <c r="B41" s="801"/>
      <c r="C41" s="801"/>
      <c r="D41" s="801"/>
      <c r="E41" s="801"/>
      <c r="F41" s="801"/>
      <c r="G41" s="801"/>
      <c r="H41" s="801"/>
      <c r="I41" s="801"/>
    </row>
    <row r="42" spans="1:13" ht="15.75" customHeight="1" x14ac:dyDescent="0.15">
      <c r="A42" s="703" t="s">
        <v>851</v>
      </c>
      <c r="B42" s="704" t="s">
        <v>863</v>
      </c>
      <c r="C42" s="329" t="s">
        <v>853</v>
      </c>
      <c r="D42" s="802" t="s">
        <v>864</v>
      </c>
      <c r="E42" s="802"/>
      <c r="F42" s="802"/>
      <c r="G42" s="802"/>
      <c r="H42" s="802"/>
      <c r="I42" s="802"/>
      <c r="J42" s="802"/>
      <c r="K42" s="705" t="s">
        <v>835</v>
      </c>
      <c r="L42" s="706" t="s">
        <v>99</v>
      </c>
      <c r="M42" s="707"/>
    </row>
    <row r="43" spans="1:13" ht="15.75" customHeight="1" x14ac:dyDescent="0.15">
      <c r="A43" s="803" t="s">
        <v>830</v>
      </c>
      <c r="B43" s="804"/>
      <c r="C43" s="804"/>
      <c r="D43" s="804"/>
      <c r="E43" s="708"/>
      <c r="F43" s="708"/>
      <c r="G43" s="708"/>
      <c r="H43" s="708"/>
      <c r="I43" s="805" t="s">
        <v>836</v>
      </c>
      <c r="J43" s="805"/>
      <c r="K43" s="805"/>
      <c r="L43" s="805"/>
      <c r="M43" s="806"/>
    </row>
    <row r="44" spans="1:13" ht="15.75" customHeight="1" x14ac:dyDescent="0.15">
      <c r="A44" s="807" t="s">
        <v>855</v>
      </c>
      <c r="B44" s="807"/>
      <c r="C44" s="807"/>
      <c r="D44" s="807"/>
      <c r="E44" s="807"/>
      <c r="F44" s="709" t="s">
        <v>856</v>
      </c>
      <c r="G44" s="709" t="s">
        <v>857</v>
      </c>
      <c r="H44" s="709" t="s">
        <v>858</v>
      </c>
      <c r="I44" s="709" t="s">
        <v>94</v>
      </c>
      <c r="J44" s="808" t="s">
        <v>859</v>
      </c>
      <c r="K44" s="808"/>
      <c r="L44" s="808"/>
      <c r="M44" s="808"/>
    </row>
    <row r="45" spans="1:13" ht="15.75" customHeight="1" x14ac:dyDescent="0.15">
      <c r="A45" s="795" t="s">
        <v>40</v>
      </c>
      <c r="B45" s="796"/>
      <c r="C45" s="796"/>
      <c r="D45" s="796"/>
      <c r="E45" s="797"/>
      <c r="F45" s="711"/>
      <c r="G45" s="712"/>
      <c r="H45" s="713"/>
      <c r="I45" s="714" t="s">
        <v>830</v>
      </c>
      <c r="J45" s="798"/>
      <c r="K45" s="798"/>
      <c r="L45" s="798"/>
      <c r="M45" s="799"/>
    </row>
    <row r="46" spans="1:13" ht="15.75" customHeight="1" x14ac:dyDescent="0.15">
      <c r="A46" s="784" t="s">
        <v>830</v>
      </c>
      <c r="B46" s="785"/>
      <c r="C46" s="785"/>
      <c r="D46" s="785"/>
      <c r="E46" s="786"/>
      <c r="F46" s="715" t="s">
        <v>860</v>
      </c>
      <c r="G46" s="716"/>
      <c r="H46" s="717"/>
      <c r="I46" s="718"/>
      <c r="J46" s="787" t="s">
        <v>830</v>
      </c>
      <c r="K46" s="788"/>
      <c r="L46" s="788"/>
      <c r="M46" s="789"/>
    </row>
    <row r="47" spans="1:13" ht="15.75" customHeight="1" x14ac:dyDescent="0.15">
      <c r="A47" s="784" t="s">
        <v>865</v>
      </c>
      <c r="B47" s="785"/>
      <c r="C47" s="785"/>
      <c r="D47" s="785"/>
      <c r="E47" s="786"/>
      <c r="F47" s="715"/>
      <c r="G47" s="719"/>
      <c r="H47" s="720"/>
      <c r="I47" s="721" t="s">
        <v>830</v>
      </c>
      <c r="J47" s="787" t="s">
        <v>830</v>
      </c>
      <c r="K47" s="788"/>
      <c r="L47" s="788"/>
      <c r="M47" s="789"/>
    </row>
    <row r="48" spans="1:13" ht="15.75" customHeight="1" x14ac:dyDescent="0.15">
      <c r="A48" s="790" t="s">
        <v>830</v>
      </c>
      <c r="B48" s="791"/>
      <c r="C48" s="791"/>
      <c r="D48" s="791"/>
      <c r="E48" s="792"/>
      <c r="F48" s="722"/>
      <c r="G48" s="733">
        <v>4.5</v>
      </c>
      <c r="H48" s="726"/>
      <c r="I48" s="727"/>
      <c r="J48" s="793" t="s">
        <v>830</v>
      </c>
      <c r="K48" s="793"/>
      <c r="L48" s="793"/>
      <c r="M48" s="794"/>
    </row>
    <row r="49" spans="1:13" ht="15.75" customHeight="1" x14ac:dyDescent="0.15">
      <c r="A49" s="795" t="s">
        <v>862</v>
      </c>
      <c r="B49" s="796"/>
      <c r="C49" s="796"/>
      <c r="D49" s="796"/>
      <c r="E49" s="797"/>
      <c r="F49" s="711"/>
      <c r="G49" s="712"/>
      <c r="H49" s="713"/>
      <c r="I49" s="714" t="s">
        <v>830</v>
      </c>
      <c r="J49" s="798" t="s">
        <v>830</v>
      </c>
      <c r="K49" s="798"/>
      <c r="L49" s="798"/>
      <c r="M49" s="799"/>
    </row>
    <row r="50" spans="1:13" ht="15.75" customHeight="1" x14ac:dyDescent="0.15">
      <c r="A50" s="784" t="s">
        <v>830</v>
      </c>
      <c r="B50" s="785"/>
      <c r="C50" s="785"/>
      <c r="D50" s="785"/>
      <c r="E50" s="786"/>
      <c r="F50" s="715" t="s">
        <v>830</v>
      </c>
      <c r="G50" s="716"/>
      <c r="H50" s="717"/>
      <c r="I50" s="718"/>
      <c r="J50" s="787" t="s">
        <v>830</v>
      </c>
      <c r="K50" s="788"/>
      <c r="L50" s="788"/>
      <c r="M50" s="789"/>
    </row>
    <row r="51" spans="1:13" ht="15.75" customHeight="1" x14ac:dyDescent="0.15">
      <c r="A51" s="784" t="s">
        <v>850</v>
      </c>
      <c r="B51" s="785"/>
      <c r="C51" s="785"/>
      <c r="D51" s="785"/>
      <c r="E51" s="786"/>
      <c r="F51" s="715"/>
      <c r="G51" s="719"/>
      <c r="H51" s="720"/>
      <c r="I51" s="721" t="s">
        <v>830</v>
      </c>
      <c r="J51" s="787" t="s">
        <v>830</v>
      </c>
      <c r="K51" s="788"/>
      <c r="L51" s="788"/>
      <c r="M51" s="789"/>
    </row>
    <row r="52" spans="1:13" ht="15.75" customHeight="1" x14ac:dyDescent="0.15">
      <c r="A52" s="790" t="s">
        <v>830</v>
      </c>
      <c r="B52" s="791"/>
      <c r="C52" s="791"/>
      <c r="D52" s="791"/>
      <c r="E52" s="792"/>
      <c r="F52" s="722"/>
      <c r="G52" s="723"/>
      <c r="H52" s="724"/>
      <c r="I52" s="727"/>
      <c r="J52" s="793" t="s">
        <v>830</v>
      </c>
      <c r="K52" s="793"/>
      <c r="L52" s="793"/>
      <c r="M52" s="794"/>
    </row>
    <row r="53" spans="1:13" ht="15.75" customHeight="1" x14ac:dyDescent="0.15">
      <c r="A53" s="801"/>
      <c r="B53" s="801"/>
      <c r="C53" s="801"/>
      <c r="D53" s="801"/>
      <c r="E53" s="801"/>
      <c r="F53" s="801"/>
      <c r="G53" s="801"/>
      <c r="H53" s="801"/>
      <c r="I53" s="801"/>
    </row>
    <row r="54" spans="1:13" ht="15.75" customHeight="1" x14ac:dyDescent="0.15">
      <c r="A54" s="703" t="s">
        <v>851</v>
      </c>
      <c r="B54" s="704" t="s">
        <v>866</v>
      </c>
      <c r="C54" s="329" t="s">
        <v>853</v>
      </c>
      <c r="D54" s="802" t="s">
        <v>867</v>
      </c>
      <c r="E54" s="802"/>
      <c r="F54" s="802"/>
      <c r="G54" s="802"/>
      <c r="H54" s="802"/>
      <c r="I54" s="802"/>
      <c r="J54" s="802"/>
      <c r="K54" s="705" t="s">
        <v>835</v>
      </c>
      <c r="L54" s="706" t="s">
        <v>99</v>
      </c>
      <c r="M54" s="707"/>
    </row>
    <row r="55" spans="1:13" ht="15.75" customHeight="1" x14ac:dyDescent="0.15">
      <c r="A55" s="803" t="s">
        <v>830</v>
      </c>
      <c r="B55" s="804"/>
      <c r="C55" s="804"/>
      <c r="D55" s="804"/>
      <c r="E55" s="708"/>
      <c r="F55" s="708"/>
      <c r="G55" s="708"/>
      <c r="H55" s="708"/>
      <c r="I55" s="805" t="s">
        <v>836</v>
      </c>
      <c r="J55" s="805"/>
      <c r="K55" s="805"/>
      <c r="L55" s="805"/>
      <c r="M55" s="806"/>
    </row>
    <row r="56" spans="1:13" ht="15.75" customHeight="1" x14ac:dyDescent="0.15">
      <c r="A56" s="807" t="s">
        <v>855</v>
      </c>
      <c r="B56" s="807"/>
      <c r="C56" s="807"/>
      <c r="D56" s="807"/>
      <c r="E56" s="807"/>
      <c r="F56" s="709" t="s">
        <v>856</v>
      </c>
      <c r="G56" s="709" t="s">
        <v>857</v>
      </c>
      <c r="H56" s="709" t="s">
        <v>858</v>
      </c>
      <c r="I56" s="709" t="s">
        <v>94</v>
      </c>
      <c r="J56" s="808" t="s">
        <v>859</v>
      </c>
      <c r="K56" s="808"/>
      <c r="L56" s="808"/>
      <c r="M56" s="808"/>
    </row>
    <row r="57" spans="1:13" ht="15.75" customHeight="1" x14ac:dyDescent="0.15">
      <c r="A57" s="795" t="s">
        <v>868</v>
      </c>
      <c r="B57" s="796"/>
      <c r="C57" s="796"/>
      <c r="D57" s="796"/>
      <c r="E57" s="797"/>
      <c r="F57" s="711"/>
      <c r="G57" s="712"/>
      <c r="H57" s="713"/>
      <c r="I57" s="714" t="s">
        <v>830</v>
      </c>
      <c r="J57" s="798"/>
      <c r="K57" s="798"/>
      <c r="L57" s="798"/>
      <c r="M57" s="799"/>
    </row>
    <row r="58" spans="1:13" ht="15.75" customHeight="1" x14ac:dyDescent="0.15">
      <c r="A58" s="784" t="s">
        <v>830</v>
      </c>
      <c r="B58" s="785"/>
      <c r="C58" s="785"/>
      <c r="D58" s="785"/>
      <c r="E58" s="786"/>
      <c r="F58" s="715" t="s">
        <v>869</v>
      </c>
      <c r="G58" s="716"/>
      <c r="H58" s="717"/>
      <c r="I58" s="718"/>
      <c r="J58" s="787" t="s">
        <v>830</v>
      </c>
      <c r="K58" s="788"/>
      <c r="L58" s="788"/>
      <c r="M58" s="789"/>
    </row>
    <row r="59" spans="1:13" ht="15.75" customHeight="1" x14ac:dyDescent="0.15">
      <c r="A59" s="784" t="s">
        <v>870</v>
      </c>
      <c r="B59" s="785"/>
      <c r="C59" s="785"/>
      <c r="D59" s="785"/>
      <c r="E59" s="786"/>
      <c r="F59" s="715"/>
      <c r="G59" s="719"/>
      <c r="H59" s="720"/>
      <c r="I59" s="721" t="s">
        <v>830</v>
      </c>
      <c r="J59" s="787" t="s">
        <v>830</v>
      </c>
      <c r="K59" s="788"/>
      <c r="L59" s="788"/>
      <c r="M59" s="789"/>
    </row>
    <row r="60" spans="1:13" ht="15.75" customHeight="1" x14ac:dyDescent="0.15">
      <c r="A60" s="790" t="s">
        <v>830</v>
      </c>
      <c r="B60" s="791"/>
      <c r="C60" s="791"/>
      <c r="D60" s="791"/>
      <c r="E60" s="792"/>
      <c r="F60" s="722"/>
      <c r="G60" s="728">
        <v>0.03</v>
      </c>
      <c r="H60" s="729"/>
      <c r="I60" s="725"/>
      <c r="J60" s="793" t="s">
        <v>830</v>
      </c>
      <c r="K60" s="793"/>
      <c r="L60" s="793"/>
      <c r="M60" s="794"/>
    </row>
    <row r="61" spans="1:13" ht="15.75" customHeight="1" x14ac:dyDescent="0.15">
      <c r="A61" s="795" t="s">
        <v>862</v>
      </c>
      <c r="B61" s="796"/>
      <c r="C61" s="796"/>
      <c r="D61" s="796"/>
      <c r="E61" s="797"/>
      <c r="F61" s="711"/>
      <c r="G61" s="712"/>
      <c r="H61" s="713"/>
      <c r="I61" s="714" t="s">
        <v>830</v>
      </c>
      <c r="J61" s="798" t="s">
        <v>830</v>
      </c>
      <c r="K61" s="798"/>
      <c r="L61" s="798"/>
      <c r="M61" s="799"/>
    </row>
    <row r="62" spans="1:13" ht="15.75" customHeight="1" x14ac:dyDescent="0.15">
      <c r="A62" s="784" t="s">
        <v>830</v>
      </c>
      <c r="B62" s="785"/>
      <c r="C62" s="785"/>
      <c r="D62" s="785"/>
      <c r="E62" s="786"/>
      <c r="F62" s="715" t="s">
        <v>830</v>
      </c>
      <c r="G62" s="716"/>
      <c r="H62" s="717"/>
      <c r="I62" s="718"/>
      <c r="J62" s="787" t="s">
        <v>830</v>
      </c>
      <c r="K62" s="788"/>
      <c r="L62" s="788"/>
      <c r="M62" s="789"/>
    </row>
    <row r="63" spans="1:13" ht="15.75" customHeight="1" x14ac:dyDescent="0.15">
      <c r="A63" s="784" t="s">
        <v>850</v>
      </c>
      <c r="B63" s="785"/>
      <c r="C63" s="785"/>
      <c r="D63" s="785"/>
      <c r="E63" s="786"/>
      <c r="F63" s="715"/>
      <c r="G63" s="719"/>
      <c r="H63" s="720"/>
      <c r="I63" s="721" t="s">
        <v>830</v>
      </c>
      <c r="J63" s="787" t="s">
        <v>830</v>
      </c>
      <c r="K63" s="788"/>
      <c r="L63" s="788"/>
      <c r="M63" s="789"/>
    </row>
    <row r="64" spans="1:13" ht="15.75" customHeight="1" x14ac:dyDescent="0.15">
      <c r="A64" s="790" t="s">
        <v>830</v>
      </c>
      <c r="B64" s="791"/>
      <c r="C64" s="791"/>
      <c r="D64" s="791"/>
      <c r="E64" s="792"/>
      <c r="F64" s="722"/>
      <c r="G64" s="723"/>
      <c r="H64" s="724"/>
      <c r="I64" s="725"/>
      <c r="J64" s="793" t="s">
        <v>830</v>
      </c>
      <c r="K64" s="793"/>
      <c r="L64" s="793"/>
      <c r="M64" s="794"/>
    </row>
    <row r="65" spans="1:13" ht="15.75" customHeight="1" x14ac:dyDescent="0.15">
      <c r="A65" s="801"/>
      <c r="B65" s="801"/>
      <c r="C65" s="801"/>
      <c r="D65" s="801"/>
      <c r="E65" s="801"/>
      <c r="F65" s="801"/>
      <c r="G65" s="801"/>
      <c r="H65" s="801"/>
      <c r="I65" s="801"/>
    </row>
    <row r="66" spans="1:13" ht="15.75" customHeight="1" x14ac:dyDescent="0.15">
      <c r="A66" s="703" t="s">
        <v>851</v>
      </c>
      <c r="B66" s="730">
        <v>9003</v>
      </c>
      <c r="C66" s="329" t="s">
        <v>853</v>
      </c>
      <c r="D66" s="802" t="s">
        <v>871</v>
      </c>
      <c r="E66" s="802"/>
      <c r="F66" s="802"/>
      <c r="G66" s="802"/>
      <c r="H66" s="802"/>
      <c r="I66" s="802"/>
      <c r="J66" s="802"/>
      <c r="K66" s="705" t="s">
        <v>835</v>
      </c>
      <c r="L66" s="706" t="s">
        <v>99</v>
      </c>
      <c r="M66" s="707"/>
    </row>
    <row r="67" spans="1:13" ht="15.75" customHeight="1" x14ac:dyDescent="0.15">
      <c r="A67" s="803" t="s">
        <v>830</v>
      </c>
      <c r="B67" s="804"/>
      <c r="C67" s="804"/>
      <c r="D67" s="804"/>
      <c r="E67" s="708"/>
      <c r="F67" s="708"/>
      <c r="G67" s="708"/>
      <c r="H67" s="708"/>
      <c r="I67" s="805" t="s">
        <v>836</v>
      </c>
      <c r="J67" s="805"/>
      <c r="K67" s="805"/>
      <c r="L67" s="805"/>
      <c r="M67" s="806"/>
    </row>
    <row r="68" spans="1:13" ht="15.75" customHeight="1" x14ac:dyDescent="0.15">
      <c r="A68" s="807" t="s">
        <v>855</v>
      </c>
      <c r="B68" s="807"/>
      <c r="C68" s="807"/>
      <c r="D68" s="807"/>
      <c r="E68" s="807"/>
      <c r="F68" s="709" t="s">
        <v>856</v>
      </c>
      <c r="G68" s="709" t="s">
        <v>857</v>
      </c>
      <c r="H68" s="709" t="s">
        <v>858</v>
      </c>
      <c r="I68" s="709" t="s">
        <v>94</v>
      </c>
      <c r="J68" s="808" t="s">
        <v>859</v>
      </c>
      <c r="K68" s="808"/>
      <c r="L68" s="808"/>
      <c r="M68" s="808"/>
    </row>
    <row r="69" spans="1:13" ht="15.75" customHeight="1" x14ac:dyDescent="0.15">
      <c r="A69" s="795" t="s">
        <v>872</v>
      </c>
      <c r="B69" s="796"/>
      <c r="C69" s="796"/>
      <c r="D69" s="796"/>
      <c r="E69" s="797"/>
      <c r="F69" s="711"/>
      <c r="G69" s="712"/>
      <c r="H69" s="713"/>
      <c r="I69" s="714" t="s">
        <v>830</v>
      </c>
      <c r="J69" s="800" t="s">
        <v>877</v>
      </c>
      <c r="K69" s="798"/>
      <c r="L69" s="798"/>
      <c r="M69" s="799"/>
    </row>
    <row r="70" spans="1:13" ht="15.75" customHeight="1" x14ac:dyDescent="0.15">
      <c r="A70" s="784" t="s">
        <v>830</v>
      </c>
      <c r="B70" s="785"/>
      <c r="C70" s="785"/>
      <c r="D70" s="785"/>
      <c r="E70" s="786"/>
      <c r="F70" s="715" t="s">
        <v>873</v>
      </c>
      <c r="G70" s="716"/>
      <c r="H70" s="717"/>
      <c r="I70" s="718"/>
      <c r="J70" s="787" t="s">
        <v>830</v>
      </c>
      <c r="K70" s="788"/>
      <c r="L70" s="788"/>
      <c r="M70" s="789"/>
    </row>
    <row r="71" spans="1:13" ht="15.75" customHeight="1" x14ac:dyDescent="0.15">
      <c r="A71" s="784" t="s">
        <v>862</v>
      </c>
      <c r="B71" s="785"/>
      <c r="C71" s="785"/>
      <c r="D71" s="785"/>
      <c r="E71" s="786"/>
      <c r="F71" s="715"/>
      <c r="G71" s="719"/>
      <c r="H71" s="720"/>
      <c r="I71" s="721" t="s">
        <v>830</v>
      </c>
      <c r="J71" s="787" t="s">
        <v>830</v>
      </c>
      <c r="K71" s="788"/>
      <c r="L71" s="788"/>
      <c r="M71" s="789"/>
    </row>
    <row r="72" spans="1:13" ht="15.75" customHeight="1" x14ac:dyDescent="0.15">
      <c r="A72" s="790" t="s">
        <v>830</v>
      </c>
      <c r="B72" s="791"/>
      <c r="C72" s="791"/>
      <c r="D72" s="791"/>
      <c r="E72" s="792"/>
      <c r="F72" s="722"/>
      <c r="G72" s="728">
        <f>G60</f>
        <v>0.03</v>
      </c>
      <c r="H72" s="729"/>
      <c r="I72" s="725"/>
      <c r="J72" s="793" t="s">
        <v>830</v>
      </c>
      <c r="K72" s="793"/>
      <c r="L72" s="793"/>
      <c r="M72" s="794"/>
    </row>
    <row r="73" spans="1:13" ht="15.75" customHeight="1" x14ac:dyDescent="0.15">
      <c r="A73" s="795" t="s">
        <v>862</v>
      </c>
      <c r="B73" s="796"/>
      <c r="C73" s="796"/>
      <c r="D73" s="796"/>
      <c r="E73" s="797"/>
      <c r="F73" s="711"/>
      <c r="G73" s="712"/>
      <c r="H73" s="713"/>
      <c r="I73" s="714" t="s">
        <v>830</v>
      </c>
      <c r="J73" s="798" t="s">
        <v>830</v>
      </c>
      <c r="K73" s="798"/>
      <c r="L73" s="798"/>
      <c r="M73" s="799"/>
    </row>
    <row r="74" spans="1:13" ht="15.75" customHeight="1" x14ac:dyDescent="0.15">
      <c r="A74" s="784" t="s">
        <v>830</v>
      </c>
      <c r="B74" s="785"/>
      <c r="C74" s="785"/>
      <c r="D74" s="785"/>
      <c r="E74" s="786"/>
      <c r="F74" s="715" t="s">
        <v>830</v>
      </c>
      <c r="G74" s="716"/>
      <c r="H74" s="717"/>
      <c r="I74" s="718"/>
      <c r="J74" s="787" t="s">
        <v>830</v>
      </c>
      <c r="K74" s="788"/>
      <c r="L74" s="788"/>
      <c r="M74" s="789"/>
    </row>
    <row r="75" spans="1:13" ht="15.75" customHeight="1" x14ac:dyDescent="0.15">
      <c r="A75" s="784" t="s">
        <v>850</v>
      </c>
      <c r="B75" s="785"/>
      <c r="C75" s="785"/>
      <c r="D75" s="785"/>
      <c r="E75" s="786"/>
      <c r="F75" s="715"/>
      <c r="G75" s="719"/>
      <c r="H75" s="720"/>
      <c r="I75" s="721" t="s">
        <v>830</v>
      </c>
      <c r="J75" s="787" t="s">
        <v>830</v>
      </c>
      <c r="K75" s="788"/>
      <c r="L75" s="788"/>
      <c r="M75" s="789"/>
    </row>
    <row r="76" spans="1:13" ht="15.75" customHeight="1" x14ac:dyDescent="0.15">
      <c r="A76" s="790" t="s">
        <v>830</v>
      </c>
      <c r="B76" s="791"/>
      <c r="C76" s="791"/>
      <c r="D76" s="791"/>
      <c r="E76" s="792"/>
      <c r="F76" s="722"/>
      <c r="G76" s="723"/>
      <c r="H76" s="724"/>
      <c r="I76" s="725"/>
      <c r="J76" s="793" t="s">
        <v>830</v>
      </c>
      <c r="K76" s="793"/>
      <c r="L76" s="793"/>
      <c r="M76" s="794"/>
    </row>
  </sheetData>
  <mergeCells count="142">
    <mergeCell ref="A5:E5"/>
    <mergeCell ref="J5:M5"/>
    <mergeCell ref="A6:E6"/>
    <mergeCell ref="J6:M6"/>
    <mergeCell ref="A7:E7"/>
    <mergeCell ref="J7:M7"/>
    <mergeCell ref="A1:I1"/>
    <mergeCell ref="D2:J2"/>
    <mergeCell ref="A3:D3"/>
    <mergeCell ref="I3:M3"/>
    <mergeCell ref="A4:E4"/>
    <mergeCell ref="J4:M4"/>
    <mergeCell ref="A11:E11"/>
    <mergeCell ref="J11:M11"/>
    <mergeCell ref="A12:E12"/>
    <mergeCell ref="J12:M12"/>
    <mergeCell ref="A13:E13"/>
    <mergeCell ref="J13:M13"/>
    <mergeCell ref="A8:E8"/>
    <mergeCell ref="J8:M8"/>
    <mergeCell ref="A9:E9"/>
    <mergeCell ref="J9:M9"/>
    <mergeCell ref="A10:E10"/>
    <mergeCell ref="J10:M10"/>
    <mergeCell ref="A17:E17"/>
    <mergeCell ref="J17:M17"/>
    <mergeCell ref="A18:E18"/>
    <mergeCell ref="J18:M18"/>
    <mergeCell ref="A19:E19"/>
    <mergeCell ref="J19:M19"/>
    <mergeCell ref="A14:E14"/>
    <mergeCell ref="J14:M14"/>
    <mergeCell ref="A15:E15"/>
    <mergeCell ref="J15:M15"/>
    <mergeCell ref="A16:E16"/>
    <mergeCell ref="J16:M16"/>
    <mergeCell ref="A24:E24"/>
    <mergeCell ref="J24:M24"/>
    <mergeCell ref="A25:E25"/>
    <mergeCell ref="J25:M25"/>
    <mergeCell ref="A26:E26"/>
    <mergeCell ref="J26:M26"/>
    <mergeCell ref="A20:E20"/>
    <mergeCell ref="J20:M20"/>
    <mergeCell ref="A21:I21"/>
    <mergeCell ref="D22:J22"/>
    <mergeCell ref="A23:D23"/>
    <mergeCell ref="I23:M23"/>
    <mergeCell ref="A30:E30"/>
    <mergeCell ref="J30:M30"/>
    <mergeCell ref="A31:E31"/>
    <mergeCell ref="J31:M31"/>
    <mergeCell ref="A32:E32"/>
    <mergeCell ref="J32:M32"/>
    <mergeCell ref="A27:E27"/>
    <mergeCell ref="J27:M27"/>
    <mergeCell ref="A28:E28"/>
    <mergeCell ref="J28:M28"/>
    <mergeCell ref="A29:E29"/>
    <mergeCell ref="J29:M29"/>
    <mergeCell ref="A36:E36"/>
    <mergeCell ref="J36:M36"/>
    <mergeCell ref="A37:E37"/>
    <mergeCell ref="J37:M37"/>
    <mergeCell ref="A38:E38"/>
    <mergeCell ref="J38:M38"/>
    <mergeCell ref="A33:E33"/>
    <mergeCell ref="J33:M33"/>
    <mergeCell ref="A34:E34"/>
    <mergeCell ref="J34:M34"/>
    <mergeCell ref="A35:E35"/>
    <mergeCell ref="J35:M35"/>
    <mergeCell ref="A43:D43"/>
    <mergeCell ref="I43:M43"/>
    <mergeCell ref="A44:E44"/>
    <mergeCell ref="J44:M44"/>
    <mergeCell ref="A45:E45"/>
    <mergeCell ref="J45:M45"/>
    <mergeCell ref="A39:E39"/>
    <mergeCell ref="J39:M39"/>
    <mergeCell ref="A40:E40"/>
    <mergeCell ref="J40:M40"/>
    <mergeCell ref="A41:I41"/>
    <mergeCell ref="D42:J42"/>
    <mergeCell ref="A49:E49"/>
    <mergeCell ref="J49:M49"/>
    <mergeCell ref="A50:E50"/>
    <mergeCell ref="J50:M50"/>
    <mergeCell ref="A51:E51"/>
    <mergeCell ref="J51:M51"/>
    <mergeCell ref="A46:E46"/>
    <mergeCell ref="J46:M46"/>
    <mergeCell ref="A47:E47"/>
    <mergeCell ref="J47:M47"/>
    <mergeCell ref="A48:E48"/>
    <mergeCell ref="J48:M48"/>
    <mergeCell ref="A56:E56"/>
    <mergeCell ref="J56:M56"/>
    <mergeCell ref="A57:E57"/>
    <mergeCell ref="J57:M57"/>
    <mergeCell ref="A58:E58"/>
    <mergeCell ref="J58:M58"/>
    <mergeCell ref="A52:E52"/>
    <mergeCell ref="J52:M52"/>
    <mergeCell ref="A53:I53"/>
    <mergeCell ref="D54:J54"/>
    <mergeCell ref="A55:D55"/>
    <mergeCell ref="I55:M55"/>
    <mergeCell ref="A62:E62"/>
    <mergeCell ref="J62:M62"/>
    <mergeCell ref="A63:E63"/>
    <mergeCell ref="J63:M63"/>
    <mergeCell ref="A64:E64"/>
    <mergeCell ref="J64:M64"/>
    <mergeCell ref="A59:E59"/>
    <mergeCell ref="J59:M59"/>
    <mergeCell ref="A60:E60"/>
    <mergeCell ref="J60:M60"/>
    <mergeCell ref="A61:E61"/>
    <mergeCell ref="J61:M61"/>
    <mergeCell ref="A69:E69"/>
    <mergeCell ref="J69:M69"/>
    <mergeCell ref="A70:E70"/>
    <mergeCell ref="J70:M70"/>
    <mergeCell ref="A71:E71"/>
    <mergeCell ref="J71:M71"/>
    <mergeCell ref="A65:I65"/>
    <mergeCell ref="D66:J66"/>
    <mergeCell ref="A67:D67"/>
    <mergeCell ref="I67:M67"/>
    <mergeCell ref="A68:E68"/>
    <mergeCell ref="J68:M68"/>
    <mergeCell ref="A75:E75"/>
    <mergeCell ref="J75:M75"/>
    <mergeCell ref="A76:E76"/>
    <mergeCell ref="J76:M76"/>
    <mergeCell ref="A72:E72"/>
    <mergeCell ref="J72:M72"/>
    <mergeCell ref="A73:E73"/>
    <mergeCell ref="J73:M73"/>
    <mergeCell ref="A74:E74"/>
    <mergeCell ref="J74:M74"/>
  </mergeCells>
  <phoneticPr fontId="28"/>
  <pageMargins left="0.7" right="0.7" top="0.75" bottom="0.75" header="0.3" footer="0.3"/>
  <pageSetup paperSize="9" scale="85" orientation="landscape" r:id="rId1"/>
  <rowBreaks count="1" manualBreakCount="1">
    <brk id="40"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5"/>
  </sheetPr>
  <dimension ref="A1:Z71"/>
  <sheetViews>
    <sheetView showZeros="0" view="pageBreakPreview" topLeftCell="D1" zoomScaleNormal="90" zoomScaleSheetLayoutView="100" workbookViewId="0">
      <selection activeCell="S60" sqref="S60"/>
    </sheetView>
  </sheetViews>
  <sheetFormatPr defaultRowHeight="13.5" x14ac:dyDescent="0.15"/>
  <cols>
    <col min="1" max="2" width="4.625" customWidth="1"/>
    <col min="3" max="3" width="3.625" customWidth="1"/>
    <col min="4" max="4" width="20.625" style="1" customWidth="1"/>
    <col min="5" max="5" width="22.625" style="1" customWidth="1"/>
    <col min="6" max="6" width="11.625" customWidth="1"/>
    <col min="7" max="7" width="4.625" style="1" customWidth="1"/>
    <col min="8" max="8" width="10.625" customWidth="1"/>
    <col min="9" max="9" width="15.625" customWidth="1"/>
    <col min="10" max="10" width="7.625" customWidth="1"/>
    <col min="11" max="11" width="19.625" customWidth="1"/>
    <col min="12" max="12" width="4.625" style="113" customWidth="1"/>
    <col min="13" max="13" width="4.625" customWidth="1"/>
    <col min="14" max="14" width="3.625" customWidth="1"/>
    <col min="15" max="15" width="20.625" customWidth="1"/>
    <col min="16" max="16" width="22.625" customWidth="1"/>
    <col min="17" max="17" width="11.625" customWidth="1"/>
    <col min="18" max="18" width="4.625" customWidth="1"/>
    <col min="19" max="19" width="10.625" customWidth="1"/>
    <col min="20" max="20" width="15.625" customWidth="1"/>
    <col min="21" max="21" width="7.625" customWidth="1"/>
    <col min="22" max="22" width="19.625" customWidth="1"/>
    <col min="24" max="26" width="10.625" customWidth="1"/>
    <col min="28" max="28" width="9.5" bestFit="1" customWidth="1"/>
    <col min="29" max="29" width="10.5" bestFit="1" customWidth="1"/>
  </cols>
  <sheetData>
    <row r="1" spans="1:26" x14ac:dyDescent="0.15">
      <c r="A1">
        <f>鏡!H2-1</f>
        <v>0</v>
      </c>
    </row>
    <row r="2" spans="1:26" ht="14.25" thickBot="1" x14ac:dyDescent="0.2">
      <c r="L2" s="140"/>
    </row>
    <row r="3" spans="1:26" ht="13.5" customHeight="1" x14ac:dyDescent="0.2">
      <c r="A3" s="284"/>
      <c r="C3" s="16"/>
      <c r="D3" s="17"/>
      <c r="E3" s="17"/>
      <c r="F3" s="18"/>
      <c r="G3" s="17"/>
      <c r="H3" s="18"/>
      <c r="I3" s="18"/>
      <c r="J3" s="18"/>
      <c r="K3" s="19"/>
      <c r="L3" s="140"/>
      <c r="N3" s="16"/>
      <c r="O3" s="17"/>
      <c r="P3" s="17"/>
      <c r="Q3" s="18"/>
      <c r="R3" s="17"/>
      <c r="S3" s="18"/>
      <c r="T3" s="18"/>
      <c r="U3" s="18"/>
      <c r="V3" s="19"/>
    </row>
    <row r="4" spans="1:26" ht="21" x14ac:dyDescent="0.2">
      <c r="A4" s="285"/>
      <c r="B4" s="284"/>
      <c r="C4" s="457" t="s">
        <v>426</v>
      </c>
      <c r="D4" s="25"/>
      <c r="E4" s="25"/>
      <c r="F4" s="25"/>
      <c r="G4" s="25"/>
      <c r="H4" s="25"/>
      <c r="I4" s="25"/>
      <c r="J4" s="25"/>
      <c r="K4" s="26"/>
      <c r="L4" s="140"/>
      <c r="N4" s="457" t="s">
        <v>402</v>
      </c>
      <c r="O4" s="25"/>
      <c r="P4" s="25"/>
      <c r="Q4" s="25"/>
      <c r="R4" s="25"/>
      <c r="S4" s="25"/>
      <c r="T4" s="25"/>
      <c r="U4" s="25"/>
      <c r="V4" s="26"/>
    </row>
    <row r="5" spans="1:26" ht="18.75" x14ac:dyDescent="0.2">
      <c r="A5" s="285"/>
      <c r="B5" s="285"/>
      <c r="C5" s="283"/>
      <c r="D5" s="20"/>
      <c r="E5" s="461">
        <f>I20</f>
        <v>0</v>
      </c>
      <c r="F5" s="21"/>
      <c r="G5" s="20"/>
      <c r="H5" s="21"/>
      <c r="I5" s="21"/>
      <c r="J5" s="21"/>
      <c r="K5" s="698" t="s">
        <v>827</v>
      </c>
      <c r="L5" s="140"/>
      <c r="N5" s="23"/>
      <c r="O5" s="20"/>
      <c r="P5" s="461" t="e">
        <f>T34</f>
        <v>#REF!</v>
      </c>
      <c r="Q5" s="21"/>
      <c r="R5" s="20"/>
      <c r="S5" s="21"/>
      <c r="T5" s="21"/>
      <c r="U5" s="21"/>
      <c r="V5" s="698" t="str">
        <f>K5</f>
        <v>補助</v>
      </c>
    </row>
    <row r="6" spans="1:26" ht="18.75" customHeight="1" x14ac:dyDescent="0.2">
      <c r="B6" s="285"/>
      <c r="C6" s="283"/>
      <c r="D6" s="316"/>
      <c r="E6" s="459" t="e">
        <f>I37</f>
        <v>#REF!</v>
      </c>
      <c r="F6" s="21"/>
      <c r="G6" s="20"/>
      <c r="H6" s="21"/>
      <c r="I6" s="21"/>
      <c r="J6" s="21"/>
      <c r="K6" s="686" t="s">
        <v>824</v>
      </c>
      <c r="L6" s="140"/>
      <c r="N6" s="23"/>
      <c r="O6" s="20"/>
      <c r="P6" s="459" t="e">
        <f>T35</f>
        <v>#REF!</v>
      </c>
      <c r="Q6" s="21"/>
      <c r="R6" s="20"/>
      <c r="S6" s="21"/>
      <c r="T6" s="21"/>
      <c r="U6" s="21"/>
      <c r="V6" s="686" t="str">
        <f>K6</f>
        <v>中継ポンプ施設（電気設備）</v>
      </c>
    </row>
    <row r="7" spans="1:26" ht="13.5" customHeight="1" x14ac:dyDescent="0.15">
      <c r="C7" s="751" t="s">
        <v>258</v>
      </c>
      <c r="D7" s="4"/>
      <c r="E7" s="4"/>
      <c r="F7" s="5"/>
      <c r="G7" s="4"/>
      <c r="H7" s="648"/>
      <c r="I7" s="648"/>
      <c r="J7" s="748" t="s">
        <v>257</v>
      </c>
      <c r="K7" s="105"/>
      <c r="L7" s="140"/>
      <c r="N7" s="751" t="s">
        <v>258</v>
      </c>
      <c r="O7" s="4"/>
      <c r="P7" s="4"/>
      <c r="Q7" s="5"/>
      <c r="R7" s="4"/>
      <c r="S7" s="648"/>
      <c r="T7" s="648"/>
      <c r="U7" s="748" t="s">
        <v>257</v>
      </c>
      <c r="V7" s="105"/>
    </row>
    <row r="8" spans="1:26" x14ac:dyDescent="0.15">
      <c r="C8" s="752"/>
      <c r="D8" s="6" t="s">
        <v>89</v>
      </c>
      <c r="E8" s="6" t="s">
        <v>90</v>
      </c>
      <c r="F8" s="7" t="s">
        <v>322</v>
      </c>
      <c r="G8" s="6" t="s">
        <v>92</v>
      </c>
      <c r="H8" s="6" t="s">
        <v>93</v>
      </c>
      <c r="I8" s="6" t="s">
        <v>94</v>
      </c>
      <c r="J8" s="749"/>
      <c r="K8" s="69" t="s">
        <v>95</v>
      </c>
      <c r="L8" s="140"/>
      <c r="N8" s="752"/>
      <c r="O8" s="6" t="s">
        <v>89</v>
      </c>
      <c r="P8" s="6" t="s">
        <v>90</v>
      </c>
      <c r="Q8" s="7" t="s">
        <v>322</v>
      </c>
      <c r="R8" s="6" t="s">
        <v>92</v>
      </c>
      <c r="S8" s="6" t="s">
        <v>93</v>
      </c>
      <c r="T8" s="6" t="s">
        <v>94</v>
      </c>
      <c r="U8" s="749"/>
      <c r="V8" s="69" t="s">
        <v>95</v>
      </c>
      <c r="Y8" t="s">
        <v>301</v>
      </c>
    </row>
    <row r="9" spans="1:26" ht="14.25" thickBot="1" x14ac:dyDescent="0.2">
      <c r="C9" s="753"/>
      <c r="D9" s="39"/>
      <c r="E9" s="39"/>
      <c r="F9" s="40"/>
      <c r="G9" s="39"/>
      <c r="H9" s="56" t="s">
        <v>96</v>
      </c>
      <c r="I9" s="56" t="s">
        <v>96</v>
      </c>
      <c r="J9" s="750"/>
      <c r="K9" s="52"/>
      <c r="L9" s="140"/>
      <c r="N9" s="753"/>
      <c r="O9" s="39"/>
      <c r="P9" s="39"/>
      <c r="Q9" s="40"/>
      <c r="R9" s="39"/>
      <c r="S9" s="56" t="s">
        <v>96</v>
      </c>
      <c r="T9" s="56" t="s">
        <v>96</v>
      </c>
      <c r="U9" s="750"/>
      <c r="V9" s="52"/>
      <c r="Y9" t="s">
        <v>269</v>
      </c>
      <c r="Z9" t="s">
        <v>270</v>
      </c>
    </row>
    <row r="10" spans="1:26" ht="15" customHeight="1" thickTop="1" x14ac:dyDescent="0.15">
      <c r="C10" s="23"/>
      <c r="D10" s="6" t="s">
        <v>803</v>
      </c>
      <c r="E10" s="6"/>
      <c r="F10" s="310"/>
      <c r="G10" s="6"/>
      <c r="H10" s="12"/>
      <c r="I10" s="12">
        <f ca="1">IF(SUM(Y29:Z29)=0,0,Z29)</f>
        <v>0</v>
      </c>
      <c r="J10" s="656" t="s">
        <v>647</v>
      </c>
      <c r="K10" s="50"/>
      <c r="L10" s="140"/>
      <c r="N10" s="23"/>
      <c r="O10" s="6"/>
      <c r="P10" s="6"/>
      <c r="Q10" s="310"/>
      <c r="R10" s="6"/>
      <c r="S10" s="12"/>
      <c r="T10" s="12" t="e">
        <f>IF(Y11+Z11=0,0,Z11)</f>
        <v>#REF!</v>
      </c>
      <c r="U10" s="10"/>
      <c r="V10" s="50" t="s">
        <v>239</v>
      </c>
    </row>
    <row r="11" spans="1:26" ht="15" customHeight="1" x14ac:dyDescent="0.15">
      <c r="C11" s="23"/>
      <c r="D11" s="8" t="s">
        <v>401</v>
      </c>
      <c r="E11" s="8"/>
      <c r="F11" s="309">
        <f>IF(I11&gt;0,1,0)</f>
        <v>1</v>
      </c>
      <c r="G11" s="8" t="s">
        <v>99</v>
      </c>
      <c r="H11" s="13"/>
      <c r="I11" s="13">
        <f>'経費(電)Ｒ１'!V34*1000</f>
        <v>3265000</v>
      </c>
      <c r="J11" s="657" t="s">
        <v>789</v>
      </c>
      <c r="K11" s="139"/>
      <c r="L11" s="140"/>
      <c r="N11" s="23"/>
      <c r="O11" s="8" t="s">
        <v>106</v>
      </c>
      <c r="P11" s="8"/>
      <c r="Q11" s="309" t="e">
        <f>IF(T11&gt;0,1,0)</f>
        <v>#REF!</v>
      </c>
      <c r="R11" s="8" t="s">
        <v>99</v>
      </c>
      <c r="S11" s="13"/>
      <c r="T11" s="13" t="e">
        <f>Y11</f>
        <v>#REF!</v>
      </c>
      <c r="U11" s="9"/>
      <c r="V11" s="139" t="s">
        <v>240</v>
      </c>
      <c r="X11" t="s">
        <v>300</v>
      </c>
      <c r="Y11" s="658" t="e">
        <f>#REF!</f>
        <v>#REF!</v>
      </c>
      <c r="Z11" s="632" t="e">
        <f>SUM(#REF!)</f>
        <v>#REF!</v>
      </c>
    </row>
    <row r="12" spans="1:26" ht="15" customHeight="1" x14ac:dyDescent="0.15">
      <c r="C12" s="23"/>
      <c r="D12" s="6" t="str">
        <f>D10</f>
        <v>相鹿瀬地区</v>
      </c>
      <c r="E12" s="6"/>
      <c r="F12" s="310"/>
      <c r="G12" s="6"/>
      <c r="H12" s="12"/>
      <c r="I12" s="12" t="e">
        <f>P5</f>
        <v>#REF!</v>
      </c>
      <c r="J12" s="10"/>
      <c r="K12" s="50" t="s">
        <v>325</v>
      </c>
      <c r="L12" s="140"/>
      <c r="N12" s="23"/>
      <c r="O12" s="6"/>
      <c r="P12" s="6"/>
      <c r="Q12" s="287"/>
      <c r="R12" s="6"/>
      <c r="S12" s="12"/>
      <c r="T12" s="12"/>
      <c r="U12" s="10"/>
      <c r="V12" s="50"/>
      <c r="Y12" s="632"/>
      <c r="Z12" s="632"/>
    </row>
    <row r="13" spans="1:26" ht="15" customHeight="1" x14ac:dyDescent="0.15">
      <c r="C13" s="23"/>
      <c r="D13" s="8" t="s">
        <v>361</v>
      </c>
      <c r="E13" s="8"/>
      <c r="F13" s="309" t="e">
        <f>IF(I13&gt;0,1,0)</f>
        <v>#REF!</v>
      </c>
      <c r="G13" s="8" t="s">
        <v>99</v>
      </c>
      <c r="H13" s="13"/>
      <c r="I13" s="13" t="e">
        <f>'経費(電)Ｒ１'!T51*1000</f>
        <v>#REF!</v>
      </c>
      <c r="J13" s="9"/>
      <c r="K13" s="139" t="s">
        <v>806</v>
      </c>
      <c r="L13" s="140"/>
      <c r="N13" s="23"/>
      <c r="O13" s="8"/>
      <c r="P13" s="8"/>
      <c r="Q13" s="288"/>
      <c r="R13" s="8"/>
      <c r="S13" s="13"/>
      <c r="T13" s="13"/>
      <c r="U13" s="9"/>
      <c r="V13" s="108"/>
      <c r="Y13" s="632"/>
      <c r="Z13" s="632"/>
    </row>
    <row r="14" spans="1:26" ht="15" customHeight="1" x14ac:dyDescent="0.15">
      <c r="C14" s="23"/>
      <c r="D14" s="6" t="s">
        <v>807</v>
      </c>
      <c r="E14" s="6"/>
      <c r="F14" s="310"/>
      <c r="G14" s="6"/>
      <c r="H14" s="12"/>
      <c r="I14" s="12">
        <f>IF(SUM(Y33:Z33)=0,0,Z33)</f>
        <v>0</v>
      </c>
      <c r="J14" s="656" t="s">
        <v>646</v>
      </c>
      <c r="K14" s="50"/>
      <c r="L14" s="140"/>
      <c r="N14" s="23"/>
      <c r="O14" s="6"/>
      <c r="P14" s="6"/>
      <c r="Q14" s="310"/>
      <c r="R14" s="6"/>
      <c r="S14" s="12"/>
      <c r="T14" s="12" t="e">
        <f>IF(Y15+Z15=0,0,Z15)</f>
        <v>#REF!</v>
      </c>
      <c r="U14" s="10"/>
      <c r="V14" s="50"/>
      <c r="Y14" s="632"/>
      <c r="Z14" s="632"/>
    </row>
    <row r="15" spans="1:26" ht="15" customHeight="1" x14ac:dyDescent="0.15">
      <c r="C15" s="23"/>
      <c r="D15" s="8" t="s">
        <v>401</v>
      </c>
      <c r="E15" s="8"/>
      <c r="F15" s="309">
        <f>IF(I15&gt;0,1,0)</f>
        <v>1</v>
      </c>
      <c r="G15" s="8" t="s">
        <v>99</v>
      </c>
      <c r="H15" s="13"/>
      <c r="I15" s="13">
        <f>'経費(電)Ｒ１'!V35*1000</f>
        <v>5432000</v>
      </c>
      <c r="J15" s="657" t="s">
        <v>789</v>
      </c>
      <c r="K15" s="139"/>
      <c r="L15" s="140"/>
      <c r="N15" s="23"/>
      <c r="O15" s="8" t="s">
        <v>107</v>
      </c>
      <c r="P15" s="8"/>
      <c r="Q15" s="309" t="e">
        <f>IF(T15&gt;0,1,0)</f>
        <v>#REF!</v>
      </c>
      <c r="R15" s="8" t="s">
        <v>99</v>
      </c>
      <c r="S15" s="13"/>
      <c r="T15" s="13" t="e">
        <f>Y15</f>
        <v>#REF!</v>
      </c>
      <c r="U15" s="9"/>
      <c r="V15" s="107"/>
      <c r="X15" t="s">
        <v>297</v>
      </c>
      <c r="Y15" s="658" t="e">
        <f>'経費(電)Ｒ１'!R44*1000</f>
        <v>#REF!</v>
      </c>
      <c r="Z15" s="632"/>
    </row>
    <row r="16" spans="1:26" ht="15" customHeight="1" x14ac:dyDescent="0.15">
      <c r="C16" s="23"/>
      <c r="D16" s="6" t="str">
        <f>D14</f>
        <v>上津田図面</v>
      </c>
      <c r="E16" s="6"/>
      <c r="F16" s="310"/>
      <c r="G16" s="6"/>
      <c r="H16" s="12"/>
      <c r="I16" s="12">
        <f>P9</f>
        <v>0</v>
      </c>
      <c r="J16" s="10"/>
      <c r="K16" s="50" t="s">
        <v>325</v>
      </c>
      <c r="L16" s="140"/>
      <c r="N16" s="23"/>
      <c r="O16" s="6"/>
      <c r="P16" s="6"/>
      <c r="Q16" s="310"/>
      <c r="R16" s="6"/>
      <c r="S16" s="12"/>
      <c r="T16" s="12" t="e">
        <f>IF(Y17+Z17=0,0,Z17)</f>
        <v>#REF!</v>
      </c>
      <c r="U16" s="10"/>
      <c r="V16" s="50"/>
      <c r="Y16" s="632"/>
      <c r="Z16" s="632"/>
    </row>
    <row r="17" spans="3:26" ht="15" customHeight="1" x14ac:dyDescent="0.15">
      <c r="C17" s="23"/>
      <c r="D17" s="8" t="s">
        <v>361</v>
      </c>
      <c r="E17" s="8"/>
      <c r="F17" s="309" t="e">
        <f>IF(I17&gt;0,1,0)</f>
        <v>#REF!</v>
      </c>
      <c r="G17" s="8" t="s">
        <v>99</v>
      </c>
      <c r="H17" s="13"/>
      <c r="I17" s="13" t="e">
        <f>'経費(電)Ｒ１'!T52*1000</f>
        <v>#REF!</v>
      </c>
      <c r="J17" s="9"/>
      <c r="K17" s="139" t="s">
        <v>806</v>
      </c>
      <c r="L17" s="140"/>
      <c r="N17" s="23"/>
      <c r="O17" s="8" t="s">
        <v>108</v>
      </c>
      <c r="P17" s="8"/>
      <c r="Q17" s="309" t="e">
        <f>IF(T17&gt;0,1,0)</f>
        <v>#REF!</v>
      </c>
      <c r="R17" s="8" t="s">
        <v>99</v>
      </c>
      <c r="S17" s="13"/>
      <c r="T17" s="13" t="e">
        <f>Y17</f>
        <v>#REF!</v>
      </c>
      <c r="U17" s="9"/>
      <c r="V17" s="107"/>
      <c r="X17" t="s">
        <v>298</v>
      </c>
      <c r="Y17" s="632" t="e">
        <f>'経費(電)Ｒ１'!T44*1000</f>
        <v>#REF!</v>
      </c>
      <c r="Z17" s="632"/>
    </row>
    <row r="18" spans="3:26" ht="15" customHeight="1" x14ac:dyDescent="0.15">
      <c r="C18" s="23"/>
      <c r="D18" s="6" t="s">
        <v>808</v>
      </c>
      <c r="E18" s="6"/>
      <c r="F18" s="310"/>
      <c r="G18" s="6"/>
      <c r="H18" s="12"/>
      <c r="I18" s="12">
        <f>IF(SUM(Z37:Z37)=0,0,Z37)</f>
        <v>0</v>
      </c>
      <c r="J18" s="656" t="s">
        <v>775</v>
      </c>
      <c r="K18" s="50"/>
      <c r="L18" s="140"/>
      <c r="N18" s="23"/>
      <c r="O18" s="6"/>
      <c r="P18" s="6"/>
      <c r="Q18" s="287"/>
      <c r="R18" s="6"/>
      <c r="S18" s="12"/>
      <c r="T18" s="12"/>
      <c r="U18" s="10"/>
      <c r="V18" s="50"/>
      <c r="Y18" s="632"/>
      <c r="Z18" s="632"/>
    </row>
    <row r="19" spans="3:26" ht="15" customHeight="1" x14ac:dyDescent="0.15">
      <c r="C19" s="23"/>
      <c r="D19" s="8" t="s">
        <v>401</v>
      </c>
      <c r="E19" s="8"/>
      <c r="F19" s="309">
        <f>IF(I19&gt;0,1,0)</f>
        <v>1</v>
      </c>
      <c r="G19" s="8" t="s">
        <v>99</v>
      </c>
      <c r="H19" s="13"/>
      <c r="I19" s="13">
        <f>'経費(電)Ｒ１'!V36*1000</f>
        <v>11414000</v>
      </c>
      <c r="J19" s="657" t="s">
        <v>789</v>
      </c>
      <c r="K19" s="139"/>
      <c r="L19" s="140"/>
      <c r="N19" s="23"/>
      <c r="O19" s="8" t="s">
        <v>804</v>
      </c>
      <c r="P19" s="8"/>
      <c r="Q19" s="670">
        <v>1</v>
      </c>
      <c r="R19" s="669" t="s">
        <v>99</v>
      </c>
      <c r="S19" s="13"/>
      <c r="T19" s="13" t="e">
        <f>Y19</f>
        <v>#REF!</v>
      </c>
      <c r="U19" s="9"/>
      <c r="V19" s="107"/>
      <c r="X19" s="610" t="s">
        <v>770</v>
      </c>
      <c r="Y19" s="632" t="e">
        <f>'経費(電)Ｒ１'!Q61*1000</f>
        <v>#REF!</v>
      </c>
      <c r="Z19" s="632"/>
    </row>
    <row r="20" spans="3:26" ht="15" customHeight="1" x14ac:dyDescent="0.15">
      <c r="C20" s="23"/>
      <c r="D20" s="6" t="str">
        <f>D18</f>
        <v>外城田地区</v>
      </c>
      <c r="E20" s="6"/>
      <c r="F20" s="310"/>
      <c r="G20" s="6"/>
      <c r="H20" s="12"/>
      <c r="I20" s="12">
        <f>P13</f>
        <v>0</v>
      </c>
      <c r="J20" s="10"/>
      <c r="K20" s="50" t="s">
        <v>325</v>
      </c>
      <c r="L20" s="140"/>
      <c r="N20" s="23"/>
      <c r="O20" s="6" t="s">
        <v>792</v>
      </c>
      <c r="P20" s="6"/>
      <c r="Q20" s="287"/>
      <c r="R20" s="6"/>
      <c r="S20" s="12"/>
      <c r="T20" s="12" t="e">
        <f>IF(SUM(Y15:Z19)=0,0,SUM(Z15:Z19))</f>
        <v>#REF!</v>
      </c>
      <c r="U20" s="671"/>
      <c r="V20" s="673"/>
      <c r="Y20" s="632"/>
      <c r="Z20" s="632"/>
    </row>
    <row r="21" spans="3:26" ht="15" customHeight="1" x14ac:dyDescent="0.15">
      <c r="C21" s="23"/>
      <c r="D21" s="8" t="s">
        <v>361</v>
      </c>
      <c r="E21" s="8"/>
      <c r="F21" s="309" t="e">
        <f>IF(I21&gt;0,1,0)</f>
        <v>#REF!</v>
      </c>
      <c r="G21" s="8" t="s">
        <v>99</v>
      </c>
      <c r="H21" s="13"/>
      <c r="I21" s="13" t="e">
        <f>'経費(電)Ｒ１'!T53*1000</f>
        <v>#REF!</v>
      </c>
      <c r="J21" s="9"/>
      <c r="K21" s="139" t="s">
        <v>806</v>
      </c>
      <c r="L21" s="140"/>
      <c r="N21" s="23"/>
      <c r="O21" s="8" t="s">
        <v>109</v>
      </c>
      <c r="P21" s="8"/>
      <c r="Q21" s="288"/>
      <c r="R21" s="8"/>
      <c r="S21" s="13"/>
      <c r="T21" s="13" t="e">
        <f>SUM(Y15:Y19)</f>
        <v>#REF!</v>
      </c>
      <c r="U21" s="672"/>
      <c r="V21" s="674"/>
      <c r="X21" t="s">
        <v>299</v>
      </c>
      <c r="Y21" s="632" t="e">
        <f>'経費(電)Ｒ１'!S61*1000</f>
        <v>#REF!</v>
      </c>
      <c r="Z21" s="632"/>
    </row>
    <row r="22" spans="3:26" ht="15" customHeight="1" x14ac:dyDescent="0.15">
      <c r="C22" s="23"/>
      <c r="D22" s="6" t="s">
        <v>809</v>
      </c>
      <c r="E22" s="6"/>
      <c r="F22" s="310"/>
      <c r="G22" s="6"/>
      <c r="H22" s="12"/>
      <c r="I22" s="12">
        <f>IF(SUM(Y41:Z41)=0,0,Z41)</f>
        <v>0</v>
      </c>
      <c r="J22" s="656" t="s">
        <v>818</v>
      </c>
      <c r="K22" s="50"/>
      <c r="L22" s="140"/>
      <c r="N22" s="23"/>
      <c r="O22" s="6"/>
      <c r="P22" s="6"/>
      <c r="Q22" s="287"/>
      <c r="R22" s="6"/>
      <c r="S22" s="12"/>
      <c r="T22" s="12"/>
      <c r="U22" s="671"/>
      <c r="V22" s="673"/>
      <c r="Z22" s="632"/>
    </row>
    <row r="23" spans="3:26" ht="15" customHeight="1" x14ac:dyDescent="0.15">
      <c r="C23" s="23"/>
      <c r="D23" s="8" t="s">
        <v>401</v>
      </c>
      <c r="E23" s="8"/>
      <c r="F23" s="309">
        <f>IF(I23&gt;0,1,0)</f>
        <v>1</v>
      </c>
      <c r="G23" s="8" t="s">
        <v>99</v>
      </c>
      <c r="H23" s="13"/>
      <c r="I23" s="13">
        <f>'経費(電)Ｒ１'!V37*1000</f>
        <v>6468000</v>
      </c>
      <c r="J23" s="657" t="s">
        <v>789</v>
      </c>
      <c r="K23" s="139"/>
      <c r="L23" s="140"/>
      <c r="N23" s="23"/>
      <c r="O23" s="8"/>
      <c r="P23" s="8"/>
      <c r="Q23" s="288"/>
      <c r="R23" s="8"/>
      <c r="S23" s="13"/>
      <c r="T23" s="13"/>
      <c r="U23" s="672"/>
      <c r="V23" s="674"/>
      <c r="X23" s="661" t="s">
        <v>796</v>
      </c>
      <c r="Y23" s="632" t="e">
        <f>-#REF!</f>
        <v>#REF!</v>
      </c>
      <c r="Z23" s="632"/>
    </row>
    <row r="24" spans="3:26" ht="15" customHeight="1" x14ac:dyDescent="0.15">
      <c r="C24" s="23"/>
      <c r="D24" s="6" t="str">
        <f>D22</f>
        <v>土羽地区</v>
      </c>
      <c r="E24" s="6"/>
      <c r="F24" s="310"/>
      <c r="G24" s="6"/>
      <c r="H24" s="12"/>
      <c r="I24" s="12">
        <f>P17</f>
        <v>0</v>
      </c>
      <c r="J24" s="10"/>
      <c r="K24" s="50" t="s">
        <v>325</v>
      </c>
      <c r="L24" s="140"/>
      <c r="N24" s="23"/>
      <c r="O24" s="6" t="s">
        <v>791</v>
      </c>
      <c r="P24" s="6"/>
      <c r="Q24" s="287"/>
      <c r="R24" s="6"/>
      <c r="S24" s="12"/>
      <c r="T24" s="12" t="e">
        <f>IF(SUM(Y11:Z19)=0,0,SUM(Z11:Z19))</f>
        <v>#REF!</v>
      </c>
      <c r="U24" s="671"/>
      <c r="V24" s="673"/>
      <c r="Y24" s="632"/>
      <c r="Z24" s="632"/>
    </row>
    <row r="25" spans="3:26" ht="15" customHeight="1" x14ac:dyDescent="0.15">
      <c r="C25" s="23"/>
      <c r="D25" s="8" t="s">
        <v>361</v>
      </c>
      <c r="E25" s="8"/>
      <c r="F25" s="309" t="e">
        <f>IF(I25&gt;0,1,0)</f>
        <v>#REF!</v>
      </c>
      <c r="G25" s="8" t="s">
        <v>99</v>
      </c>
      <c r="H25" s="13"/>
      <c r="I25" s="13" t="e">
        <f>'経費(電)Ｒ１'!T54*1000</f>
        <v>#REF!</v>
      </c>
      <c r="J25" s="9"/>
      <c r="K25" s="139" t="s">
        <v>806</v>
      </c>
      <c r="L25" s="140"/>
      <c r="N25" s="23"/>
      <c r="O25" s="8" t="s">
        <v>102</v>
      </c>
      <c r="P25" s="8"/>
      <c r="Q25" s="288"/>
      <c r="R25" s="8"/>
      <c r="S25" s="13"/>
      <c r="T25" s="13" t="e">
        <f>SUM(Y11:Y19)</f>
        <v>#REF!</v>
      </c>
      <c r="U25" s="672"/>
      <c r="V25" s="674"/>
      <c r="X25" t="s">
        <v>318</v>
      </c>
      <c r="Y25" s="632" t="e">
        <f>SUM(Y11:Y23)</f>
        <v>#REF!</v>
      </c>
      <c r="Z25" s="632" t="e">
        <f>SUM(Z11:Z21)</f>
        <v>#REF!</v>
      </c>
    </row>
    <row r="26" spans="3:26" ht="15" customHeight="1" x14ac:dyDescent="0.15">
      <c r="C26" s="23"/>
      <c r="D26" s="6" t="s">
        <v>810</v>
      </c>
      <c r="E26" s="6"/>
      <c r="F26" s="310"/>
      <c r="G26" s="6"/>
      <c r="H26" s="12"/>
      <c r="I26" s="12">
        <f>IF(SUM(Y45:Z45)=0,0,Z45)</f>
        <v>0</v>
      </c>
      <c r="J26" s="656" t="s">
        <v>820</v>
      </c>
      <c r="K26" s="50"/>
      <c r="L26" s="140"/>
      <c r="N26" s="23"/>
      <c r="O26" s="6"/>
      <c r="P26" s="6"/>
      <c r="Q26" s="287"/>
      <c r="R26" s="6"/>
      <c r="S26" s="12"/>
      <c r="T26" s="12"/>
      <c r="U26" s="671"/>
      <c r="V26" s="673"/>
      <c r="Y26" s="632"/>
      <c r="Z26" s="632"/>
    </row>
    <row r="27" spans="3:26" ht="15" customHeight="1" x14ac:dyDescent="0.15">
      <c r="C27" s="23"/>
      <c r="D27" s="8" t="s">
        <v>401</v>
      </c>
      <c r="E27" s="8"/>
      <c r="F27" s="309">
        <f>IF(I27&gt;0,1,0)</f>
        <v>1</v>
      </c>
      <c r="G27" s="8" t="s">
        <v>99</v>
      </c>
      <c r="H27" s="13"/>
      <c r="I27" s="13">
        <f>'経費(電)Ｒ１'!V38*1000</f>
        <v>13042000</v>
      </c>
      <c r="J27" s="657" t="s">
        <v>789</v>
      </c>
      <c r="K27" s="139"/>
      <c r="L27" s="140"/>
      <c r="N27" s="23"/>
      <c r="O27" s="8"/>
      <c r="P27" s="8"/>
      <c r="Q27" s="288"/>
      <c r="R27" s="8"/>
      <c r="S27" s="13"/>
      <c r="T27" s="13"/>
      <c r="U27" s="672"/>
      <c r="V27" s="674"/>
      <c r="X27" t="s">
        <v>302</v>
      </c>
      <c r="Y27" s="641">
        <f>'経費(電)Ｒ１'!X34*1000</f>
        <v>27169000</v>
      </c>
      <c r="Z27" s="632"/>
    </row>
    <row r="28" spans="3:26" ht="15" customHeight="1" x14ac:dyDescent="0.15">
      <c r="C28" s="23"/>
      <c r="D28" s="6" t="str">
        <f>D26</f>
        <v>丹生地区</v>
      </c>
      <c r="E28" s="6"/>
      <c r="F28" s="310"/>
      <c r="G28" s="6"/>
      <c r="H28" s="12"/>
      <c r="I28" s="12">
        <f>P21</f>
        <v>0</v>
      </c>
      <c r="J28" s="10"/>
      <c r="K28" s="50" t="s">
        <v>325</v>
      </c>
      <c r="L28" s="140"/>
      <c r="N28" s="23"/>
      <c r="O28" s="6"/>
      <c r="P28" s="6"/>
      <c r="Q28" s="310"/>
      <c r="R28" s="6"/>
      <c r="S28" s="12"/>
      <c r="T28" s="12" t="e">
        <f>IF(Y21+Z21=0,0,Z21)</f>
        <v>#REF!</v>
      </c>
      <c r="U28" s="671"/>
      <c r="V28" s="673"/>
      <c r="Z28" s="632"/>
    </row>
    <row r="29" spans="3:26" ht="15" customHeight="1" x14ac:dyDescent="0.15">
      <c r="C29" s="23"/>
      <c r="D29" s="8" t="s">
        <v>361</v>
      </c>
      <c r="E29" s="8"/>
      <c r="F29" s="309" t="e">
        <f>IF(I29&gt;0,1,0)</f>
        <v>#REF!</v>
      </c>
      <c r="G29" s="8" t="s">
        <v>99</v>
      </c>
      <c r="H29" s="13"/>
      <c r="I29" s="13" t="e">
        <f>'経費(電)Ｒ１'!T55*1000</f>
        <v>#REF!</v>
      </c>
      <c r="J29" s="9"/>
      <c r="K29" s="139" t="s">
        <v>806</v>
      </c>
      <c r="L29" s="140"/>
      <c r="N29" s="23"/>
      <c r="O29" s="8" t="s">
        <v>110</v>
      </c>
      <c r="P29" s="8"/>
      <c r="Q29" s="309" t="e">
        <f>IF(T29&gt;0,1,0)</f>
        <v>#REF!</v>
      </c>
      <c r="R29" s="8" t="s">
        <v>99</v>
      </c>
      <c r="S29" s="13"/>
      <c r="T29" s="13" t="e">
        <f>Y21</f>
        <v>#REF!</v>
      </c>
      <c r="U29" s="672"/>
      <c r="V29" s="674"/>
      <c r="Z29" s="632">
        <f ca="1">電_製作!Z5</f>
        <v>0</v>
      </c>
    </row>
    <row r="30" spans="3:26" ht="15" customHeight="1" x14ac:dyDescent="0.15">
      <c r="C30" s="23"/>
      <c r="D30" s="6"/>
      <c r="E30" s="6"/>
      <c r="F30" s="310"/>
      <c r="G30" s="6"/>
      <c r="H30" s="12"/>
      <c r="I30" s="12"/>
      <c r="J30" s="656"/>
      <c r="K30" s="50"/>
      <c r="L30" s="140"/>
      <c r="N30" s="23"/>
      <c r="O30" s="6"/>
      <c r="P30" s="6"/>
      <c r="Q30" s="287"/>
      <c r="R30" s="6"/>
      <c r="S30" s="12"/>
      <c r="T30" s="12"/>
      <c r="U30" s="675"/>
      <c r="V30" s="673"/>
    </row>
    <row r="31" spans="3:26" ht="15" customHeight="1" x14ac:dyDescent="0.15">
      <c r="C31" s="23"/>
      <c r="D31" s="8" t="s">
        <v>795</v>
      </c>
      <c r="E31" s="8"/>
      <c r="F31" s="309">
        <v>1</v>
      </c>
      <c r="G31" s="8" t="s">
        <v>99</v>
      </c>
      <c r="H31" s="13"/>
      <c r="I31" s="401" t="e">
        <f>T33</f>
        <v>#REF!</v>
      </c>
      <c r="J31" s="657"/>
      <c r="K31" s="139"/>
      <c r="L31" s="140"/>
      <c r="N31" s="23"/>
      <c r="O31" s="8"/>
      <c r="P31" s="8"/>
      <c r="Q31" s="309"/>
      <c r="R31" s="8"/>
      <c r="S31" s="13"/>
      <c r="T31" s="13"/>
      <c r="U31" s="676"/>
      <c r="V31" s="674"/>
    </row>
    <row r="32" spans="3:26" ht="15" customHeight="1" x14ac:dyDescent="0.15">
      <c r="C32" s="23"/>
      <c r="D32" s="6"/>
      <c r="E32" s="6"/>
      <c r="F32" s="310"/>
      <c r="G32" s="6"/>
      <c r="H32" s="12"/>
      <c r="I32" s="12"/>
      <c r="J32" s="10"/>
      <c r="K32" s="50"/>
      <c r="L32" s="140"/>
      <c r="N32" s="23"/>
      <c r="O32" s="6"/>
      <c r="P32" s="6"/>
      <c r="Q32" s="287"/>
      <c r="R32" s="6"/>
      <c r="S32" s="12"/>
      <c r="T32" s="12"/>
      <c r="U32" s="675"/>
      <c r="V32" s="50"/>
    </row>
    <row r="33" spans="3:22" ht="15" customHeight="1" x14ac:dyDescent="0.15">
      <c r="C33" s="23"/>
      <c r="D33" s="8"/>
      <c r="E33" s="8"/>
      <c r="F33" s="309"/>
      <c r="G33" s="8"/>
      <c r="H33" s="13"/>
      <c r="I33" s="13"/>
      <c r="J33" s="9"/>
      <c r="K33" s="139"/>
      <c r="L33" s="140"/>
      <c r="N33" s="23"/>
      <c r="O33" s="8" t="s">
        <v>795</v>
      </c>
      <c r="P33" s="8"/>
      <c r="Q33" s="309">
        <v>1</v>
      </c>
      <c r="R33" s="8" t="s">
        <v>99</v>
      </c>
      <c r="S33" s="13"/>
      <c r="T33" s="401" t="e">
        <f>Y23</f>
        <v>#REF!</v>
      </c>
      <c r="U33" s="676"/>
      <c r="V33" s="107"/>
    </row>
    <row r="34" spans="3:22" ht="15" customHeight="1" x14ac:dyDescent="0.15">
      <c r="C34" s="23"/>
      <c r="D34" s="6"/>
      <c r="E34" s="6"/>
      <c r="F34" s="287"/>
      <c r="G34" s="6"/>
      <c r="H34" s="12"/>
      <c r="I34" s="12"/>
      <c r="J34" s="10"/>
      <c r="K34" s="50"/>
      <c r="L34" s="140"/>
      <c r="N34" s="23"/>
      <c r="O34" s="6" t="s">
        <v>790</v>
      </c>
      <c r="P34" s="6"/>
      <c r="Q34" s="287"/>
      <c r="R34" s="6"/>
      <c r="S34" s="12"/>
      <c r="T34" s="12" t="e">
        <f>IF(Y25+Z25=0,0,Z25)</f>
        <v>#REF!</v>
      </c>
      <c r="U34" s="10"/>
      <c r="V34" s="50"/>
    </row>
    <row r="35" spans="3:22" ht="15" customHeight="1" x14ac:dyDescent="0.15">
      <c r="C35" s="23"/>
      <c r="D35" s="8"/>
      <c r="E35" s="8"/>
      <c r="F35" s="309"/>
      <c r="G35" s="8"/>
      <c r="H35" s="13"/>
      <c r="I35" s="401"/>
      <c r="J35" s="9"/>
      <c r="K35" s="107"/>
      <c r="L35" s="140"/>
      <c r="N35" s="23"/>
      <c r="O35" s="8" t="s">
        <v>104</v>
      </c>
      <c r="P35" s="8"/>
      <c r="Q35" s="288"/>
      <c r="R35" s="8"/>
      <c r="S35" s="13"/>
      <c r="T35" s="13" t="e">
        <f>Y25</f>
        <v>#REF!</v>
      </c>
      <c r="U35" s="9"/>
      <c r="V35" s="107"/>
    </row>
    <row r="36" spans="3:22" ht="15" customHeight="1" x14ac:dyDescent="0.15">
      <c r="C36" s="23"/>
      <c r="D36" s="6"/>
      <c r="E36" s="6"/>
      <c r="F36" s="287"/>
      <c r="G36" s="6"/>
      <c r="H36" s="12"/>
      <c r="I36" s="12"/>
      <c r="J36" s="10"/>
      <c r="K36" s="50"/>
      <c r="L36" s="140"/>
      <c r="N36" s="23"/>
      <c r="O36" s="6"/>
      <c r="P36" s="6"/>
      <c r="Q36" s="287"/>
      <c r="R36" s="6"/>
      <c r="S36" s="12"/>
      <c r="T36" s="12"/>
      <c r="U36" s="10"/>
      <c r="V36" s="50"/>
    </row>
    <row r="37" spans="3:22" ht="15" customHeight="1" x14ac:dyDescent="0.15">
      <c r="C37" s="23"/>
      <c r="D37" s="8" t="s">
        <v>104</v>
      </c>
      <c r="E37" s="8"/>
      <c r="F37" s="288"/>
      <c r="G37" s="8"/>
      <c r="H37" s="13"/>
      <c r="I37" s="13" t="e">
        <f>SUM(Y25:Y27)</f>
        <v>#REF!</v>
      </c>
      <c r="J37" s="9"/>
      <c r="K37" s="107"/>
      <c r="L37" s="140"/>
      <c r="N37" s="23"/>
      <c r="O37" s="8"/>
      <c r="P37" s="8"/>
      <c r="Q37" s="288"/>
      <c r="R37" s="8"/>
      <c r="S37" s="13"/>
      <c r="T37" s="13"/>
      <c r="U37" s="9"/>
      <c r="V37" s="107"/>
    </row>
    <row r="38" spans="3:22" ht="15" customHeight="1" x14ac:dyDescent="0.15">
      <c r="C38" s="23"/>
      <c r="D38" s="6"/>
      <c r="E38" s="6"/>
      <c r="F38" s="287"/>
      <c r="G38" s="6"/>
      <c r="H38" s="12"/>
      <c r="I38" s="12"/>
      <c r="J38" s="10"/>
      <c r="K38" s="50"/>
      <c r="L38" s="140"/>
      <c r="N38" s="23"/>
      <c r="O38" s="6"/>
      <c r="P38" s="6"/>
      <c r="Q38" s="287"/>
      <c r="R38" s="6"/>
      <c r="S38" s="12"/>
      <c r="T38" s="12"/>
      <c r="U38" s="10"/>
      <c r="V38" s="50"/>
    </row>
    <row r="39" spans="3:22" ht="15" customHeight="1" x14ac:dyDescent="0.15">
      <c r="C39" s="23"/>
      <c r="D39" s="8"/>
      <c r="E39" s="8"/>
      <c r="F39" s="288"/>
      <c r="G39" s="8"/>
      <c r="H39" s="13"/>
      <c r="I39" s="13"/>
      <c r="J39" s="9"/>
      <c r="K39" s="107"/>
      <c r="L39" s="140"/>
      <c r="N39" s="23"/>
      <c r="O39" s="8"/>
      <c r="P39" s="8"/>
      <c r="Q39" s="288"/>
      <c r="R39" s="8"/>
      <c r="S39" s="13"/>
      <c r="T39" s="13"/>
      <c r="U39" s="9"/>
      <c r="V39" s="107"/>
    </row>
    <row r="40" spans="3:22" ht="15" customHeight="1" x14ac:dyDescent="0.15">
      <c r="C40" s="23"/>
      <c r="D40" s="6"/>
      <c r="E40" s="6"/>
      <c r="F40" s="287"/>
      <c r="G40" s="6"/>
      <c r="H40" s="12"/>
      <c r="I40" s="12"/>
      <c r="J40" s="10"/>
      <c r="K40" s="50"/>
      <c r="L40" s="140"/>
      <c r="N40" s="23"/>
      <c r="O40" s="6"/>
      <c r="P40" s="6"/>
      <c r="Q40" s="287"/>
      <c r="R40" s="6"/>
      <c r="S40" s="12"/>
      <c r="T40" s="12"/>
      <c r="U40" s="10"/>
      <c r="V40" s="50"/>
    </row>
    <row r="41" spans="3:22" ht="15" customHeight="1" x14ac:dyDescent="0.15">
      <c r="C41" s="23"/>
      <c r="D41" s="8"/>
      <c r="E41" s="8"/>
      <c r="F41" s="288"/>
      <c r="G41" s="8"/>
      <c r="H41" s="13"/>
      <c r="I41" s="13"/>
      <c r="J41" s="9"/>
      <c r="K41" s="107"/>
      <c r="L41" s="140"/>
      <c r="N41" s="23"/>
      <c r="O41" s="8"/>
      <c r="P41" s="8"/>
      <c r="Q41" s="288"/>
      <c r="R41" s="8"/>
      <c r="S41" s="13"/>
      <c r="T41" s="13"/>
      <c r="U41" s="9"/>
      <c r="V41" s="107"/>
    </row>
    <row r="42" spans="3:22" ht="15" customHeight="1" x14ac:dyDescent="0.15">
      <c r="C42" s="23"/>
      <c r="D42" s="6"/>
      <c r="E42" s="6"/>
      <c r="F42" s="287"/>
      <c r="G42" s="6"/>
      <c r="H42" s="12"/>
      <c r="I42" s="12"/>
      <c r="J42" s="10"/>
      <c r="K42" s="50"/>
      <c r="L42" s="140"/>
      <c r="N42" s="23"/>
      <c r="O42" s="6"/>
      <c r="P42" s="6"/>
      <c r="Q42" s="287"/>
      <c r="R42" s="6"/>
      <c r="S42" s="12"/>
      <c r="T42" s="12"/>
      <c r="U42" s="10"/>
      <c r="V42" s="50"/>
    </row>
    <row r="43" spans="3:22" ht="15" customHeight="1" x14ac:dyDescent="0.15">
      <c r="C43" s="23"/>
      <c r="D43" s="8"/>
      <c r="E43" s="8"/>
      <c r="F43" s="288"/>
      <c r="G43" s="8"/>
      <c r="H43" s="13"/>
      <c r="I43" s="13"/>
      <c r="J43" s="9"/>
      <c r="K43" s="107"/>
      <c r="L43" s="140"/>
      <c r="N43" s="23"/>
      <c r="O43" s="8"/>
      <c r="P43" s="8"/>
      <c r="Q43" s="288"/>
      <c r="R43" s="8"/>
      <c r="S43" s="13"/>
      <c r="T43" s="13"/>
      <c r="U43" s="9"/>
      <c r="V43" s="107"/>
    </row>
    <row r="44" spans="3:22" ht="15" customHeight="1" x14ac:dyDescent="0.15">
      <c r="C44" s="23"/>
      <c r="D44" s="6"/>
      <c r="E44" s="6"/>
      <c r="F44" s="287"/>
      <c r="G44" s="6"/>
      <c r="H44" s="12"/>
      <c r="I44" s="12"/>
      <c r="J44" s="10"/>
      <c r="K44" s="50"/>
      <c r="L44" s="140"/>
      <c r="N44" s="23"/>
      <c r="O44" s="6"/>
      <c r="P44" s="6"/>
      <c r="Q44" s="287"/>
      <c r="R44" s="6"/>
      <c r="S44" s="12"/>
      <c r="T44" s="12"/>
      <c r="U44" s="10"/>
      <c r="V44" s="50"/>
    </row>
    <row r="45" spans="3:22" ht="15" customHeight="1" x14ac:dyDescent="0.15">
      <c r="C45" s="23"/>
      <c r="D45" s="8"/>
      <c r="E45" s="8"/>
      <c r="F45" s="288"/>
      <c r="G45" s="8"/>
      <c r="H45" s="13"/>
      <c r="I45" s="13"/>
      <c r="J45" s="9"/>
      <c r="K45" s="107"/>
      <c r="L45" s="140"/>
      <c r="N45" s="23"/>
      <c r="O45" s="8"/>
      <c r="P45" s="8"/>
      <c r="Q45" s="288"/>
      <c r="R45" s="8"/>
      <c r="S45" s="13"/>
      <c r="T45" s="13"/>
      <c r="U45" s="9"/>
      <c r="V45" s="107"/>
    </row>
    <row r="46" spans="3:22" ht="15" customHeight="1" x14ac:dyDescent="0.15">
      <c r="C46" s="23"/>
      <c r="D46" s="6"/>
      <c r="E46" s="6"/>
      <c r="F46" s="287"/>
      <c r="G46" s="6"/>
      <c r="H46" s="12"/>
      <c r="I46" s="12"/>
      <c r="J46" s="10"/>
      <c r="K46" s="50"/>
      <c r="L46" s="140"/>
      <c r="N46" s="23"/>
      <c r="O46" s="6"/>
      <c r="P46" s="6"/>
      <c r="Q46" s="287"/>
      <c r="R46" s="6"/>
      <c r="S46" s="12"/>
      <c r="T46" s="12"/>
      <c r="U46" s="10"/>
      <c r="V46" s="50"/>
    </row>
    <row r="47" spans="3:22" ht="15" customHeight="1" x14ac:dyDescent="0.15">
      <c r="C47" s="23"/>
      <c r="D47" s="8"/>
      <c r="E47" s="8"/>
      <c r="F47" s="288"/>
      <c r="G47" s="8"/>
      <c r="H47" s="13"/>
      <c r="I47" s="13"/>
      <c r="J47" s="9"/>
      <c r="K47" s="107"/>
      <c r="L47" s="140"/>
      <c r="N47" s="23"/>
      <c r="O47" s="8"/>
      <c r="P47" s="8"/>
      <c r="Q47" s="288"/>
      <c r="R47" s="8"/>
      <c r="S47" s="13"/>
      <c r="T47" s="13"/>
      <c r="U47" s="9"/>
      <c r="V47" s="107"/>
    </row>
    <row r="48" spans="3:22" ht="15" customHeight="1" x14ac:dyDescent="0.15">
      <c r="C48" s="23"/>
      <c r="D48" s="6"/>
      <c r="E48" s="6"/>
      <c r="F48" s="287"/>
      <c r="G48" s="6"/>
      <c r="H48" s="12"/>
      <c r="I48" s="12"/>
      <c r="J48" s="10"/>
      <c r="K48" s="50"/>
      <c r="L48" s="140"/>
      <c r="N48" s="23"/>
      <c r="O48" s="6"/>
      <c r="P48" s="6"/>
      <c r="Q48" s="287"/>
      <c r="R48" s="6"/>
      <c r="S48" s="12"/>
      <c r="T48" s="12"/>
      <c r="U48" s="10"/>
      <c r="V48" s="50"/>
    </row>
    <row r="49" spans="3:22" ht="15" customHeight="1" x14ac:dyDescent="0.15">
      <c r="C49" s="23"/>
      <c r="D49" s="8"/>
      <c r="E49" s="8"/>
      <c r="F49" s="288"/>
      <c r="G49" s="8"/>
      <c r="H49" s="13"/>
      <c r="I49" s="13"/>
      <c r="J49" s="9"/>
      <c r="K49" s="107"/>
      <c r="L49" s="140"/>
      <c r="N49" s="23"/>
      <c r="O49" s="8"/>
      <c r="P49" s="8"/>
      <c r="Q49" s="288"/>
      <c r="R49" s="8"/>
      <c r="S49" s="13"/>
      <c r="T49" s="13"/>
      <c r="U49" s="9"/>
      <c r="V49" s="107"/>
    </row>
    <row r="50" spans="3:22" ht="15" customHeight="1" x14ac:dyDescent="0.15">
      <c r="C50" s="23"/>
      <c r="D50" s="6"/>
      <c r="E50" s="6"/>
      <c r="F50" s="287"/>
      <c r="G50" s="6"/>
      <c r="H50" s="12"/>
      <c r="I50" s="12"/>
      <c r="J50" s="10"/>
      <c r="K50" s="50"/>
      <c r="L50" s="140"/>
      <c r="N50" s="23"/>
      <c r="O50" s="6"/>
      <c r="P50" s="6"/>
      <c r="Q50" s="287"/>
      <c r="R50" s="6"/>
      <c r="S50" s="12"/>
      <c r="T50" s="12"/>
      <c r="U50" s="10"/>
      <c r="V50" s="50"/>
    </row>
    <row r="51" spans="3:22" ht="15" customHeight="1" x14ac:dyDescent="0.15">
      <c r="C51" s="23"/>
      <c r="D51" s="8"/>
      <c r="E51" s="8"/>
      <c r="F51" s="288"/>
      <c r="G51" s="8"/>
      <c r="H51" s="13"/>
      <c r="I51" s="13"/>
      <c r="J51" s="9"/>
      <c r="K51" s="107"/>
      <c r="L51" s="140"/>
      <c r="N51" s="23"/>
      <c r="O51" s="8"/>
      <c r="P51" s="8"/>
      <c r="Q51" s="288"/>
      <c r="R51" s="8"/>
      <c r="S51" s="13"/>
      <c r="T51" s="13"/>
      <c r="U51" s="9"/>
      <c r="V51" s="107"/>
    </row>
    <row r="52" spans="3:22" ht="15" customHeight="1" x14ac:dyDescent="0.15">
      <c r="C52" s="23"/>
      <c r="D52" s="6"/>
      <c r="E52" s="6"/>
      <c r="F52" s="287"/>
      <c r="G52" s="6"/>
      <c r="H52" s="12"/>
      <c r="I52" s="12"/>
      <c r="J52" s="10"/>
      <c r="K52" s="50"/>
      <c r="L52" s="140"/>
      <c r="N52" s="23"/>
      <c r="O52" s="6"/>
      <c r="P52" s="6"/>
      <c r="Q52" s="287"/>
      <c r="R52" s="6"/>
      <c r="S52" s="12"/>
      <c r="T52" s="12"/>
      <c r="U52" s="10"/>
      <c r="V52" s="50"/>
    </row>
    <row r="53" spans="3:22" ht="15" customHeight="1" x14ac:dyDescent="0.15">
      <c r="C53" s="23"/>
      <c r="D53" s="8"/>
      <c r="E53" s="8"/>
      <c r="F53" s="288"/>
      <c r="G53" s="8"/>
      <c r="H53" s="13"/>
      <c r="I53" s="13"/>
      <c r="J53" s="9"/>
      <c r="K53" s="107"/>
      <c r="L53" s="140"/>
      <c r="N53" s="23"/>
      <c r="O53" s="8"/>
      <c r="P53" s="8"/>
      <c r="Q53" s="288"/>
      <c r="R53" s="8"/>
      <c r="S53" s="13"/>
      <c r="T53" s="13"/>
      <c r="U53" s="9"/>
      <c r="V53" s="107"/>
    </row>
    <row r="54" spans="3:22" ht="15" customHeight="1" x14ac:dyDescent="0.15">
      <c r="C54" s="23"/>
      <c r="D54" s="6"/>
      <c r="E54" s="6"/>
      <c r="F54" s="287"/>
      <c r="G54" s="6"/>
      <c r="H54" s="12"/>
      <c r="I54" s="12"/>
      <c r="J54" s="10"/>
      <c r="K54" s="50"/>
      <c r="L54" s="140"/>
      <c r="N54" s="23"/>
      <c r="O54" s="6"/>
      <c r="P54" s="6"/>
      <c r="Q54" s="287"/>
      <c r="R54" s="6"/>
      <c r="S54" s="12"/>
      <c r="T54" s="12"/>
      <c r="U54" s="10"/>
      <c r="V54" s="50"/>
    </row>
    <row r="55" spans="3:22" ht="15" customHeight="1" x14ac:dyDescent="0.15">
      <c r="C55" s="23"/>
      <c r="D55" s="8"/>
      <c r="E55" s="8"/>
      <c r="F55" s="288"/>
      <c r="G55" s="8"/>
      <c r="H55" s="13"/>
      <c r="I55" s="13"/>
      <c r="J55" s="9"/>
      <c r="K55" s="107"/>
      <c r="L55" s="140"/>
      <c r="N55" s="23"/>
      <c r="O55" s="8"/>
      <c r="P55" s="8"/>
      <c r="Q55" s="288"/>
      <c r="R55" s="8"/>
      <c r="S55" s="13"/>
      <c r="T55" s="13"/>
      <c r="U55" s="9"/>
      <c r="V55" s="107"/>
    </row>
    <row r="56" spans="3:22" ht="15" customHeight="1" x14ac:dyDescent="0.15">
      <c r="C56" s="23"/>
      <c r="D56" s="6"/>
      <c r="E56" s="6"/>
      <c r="F56" s="287"/>
      <c r="G56" s="6"/>
      <c r="H56" s="12"/>
      <c r="I56" s="12"/>
      <c r="J56" s="10"/>
      <c r="K56" s="50"/>
      <c r="L56" s="140"/>
      <c r="N56" s="23"/>
      <c r="O56" s="6"/>
      <c r="P56" s="6"/>
      <c r="Q56" s="287"/>
      <c r="R56" s="6"/>
      <c r="S56" s="12"/>
      <c r="T56" s="12"/>
      <c r="U56" s="10"/>
      <c r="V56" s="50"/>
    </row>
    <row r="57" spans="3:22" ht="15" customHeight="1" x14ac:dyDescent="0.15">
      <c r="C57" s="23"/>
      <c r="D57" s="8"/>
      <c r="E57" s="8"/>
      <c r="F57" s="288"/>
      <c r="G57" s="8"/>
      <c r="H57" s="13"/>
      <c r="I57" s="13"/>
      <c r="J57" s="9"/>
      <c r="K57" s="107"/>
      <c r="L57" s="140"/>
      <c r="N57" s="23"/>
      <c r="O57" s="8"/>
      <c r="P57" s="8"/>
      <c r="Q57" s="288"/>
      <c r="R57" s="8"/>
      <c r="S57" s="13"/>
      <c r="T57" s="13"/>
      <c r="U57" s="9"/>
      <c r="V57" s="107"/>
    </row>
    <row r="58" spans="3:22" ht="15" customHeight="1" x14ac:dyDescent="0.15">
      <c r="C58" s="23"/>
      <c r="D58" s="6"/>
      <c r="E58" s="6"/>
      <c r="F58" s="287"/>
      <c r="G58" s="6"/>
      <c r="H58" s="12"/>
      <c r="I58" s="12"/>
      <c r="J58" s="10"/>
      <c r="K58" s="50"/>
      <c r="L58" s="140"/>
      <c r="N58" s="23"/>
      <c r="O58" s="6"/>
      <c r="P58" s="6"/>
      <c r="Q58" s="287"/>
      <c r="R58" s="6"/>
      <c r="S58" s="12"/>
      <c r="T58" s="12"/>
      <c r="U58" s="10"/>
      <c r="V58" s="50"/>
    </row>
    <row r="59" spans="3:22" ht="15" customHeight="1" x14ac:dyDescent="0.15">
      <c r="C59" s="23"/>
      <c r="D59" s="8"/>
      <c r="E59" s="8"/>
      <c r="F59" s="288"/>
      <c r="G59" s="8"/>
      <c r="H59" s="13"/>
      <c r="I59" s="13"/>
      <c r="J59" s="9"/>
      <c r="K59" s="107"/>
      <c r="L59" s="140"/>
      <c r="N59" s="23"/>
      <c r="O59" s="8"/>
      <c r="P59" s="8"/>
      <c r="Q59" s="288"/>
      <c r="R59" s="8"/>
      <c r="S59" s="13"/>
      <c r="T59" s="13"/>
      <c r="U59" s="9"/>
      <c r="V59" s="107"/>
    </row>
    <row r="60" spans="3:22" ht="15" customHeight="1" x14ac:dyDescent="0.15">
      <c r="C60" s="23"/>
      <c r="D60" s="6"/>
      <c r="E60" s="6"/>
      <c r="F60" s="287"/>
      <c r="G60" s="6"/>
      <c r="H60" s="12"/>
      <c r="I60" s="12"/>
      <c r="J60" s="10"/>
      <c r="K60" s="50"/>
      <c r="L60" s="140"/>
      <c r="N60" s="23"/>
      <c r="O60" s="6"/>
      <c r="P60" s="6"/>
      <c r="Q60" s="287"/>
      <c r="R60" s="6"/>
      <c r="S60" s="12"/>
      <c r="T60" s="12"/>
      <c r="U60" s="10"/>
      <c r="V60" s="50"/>
    </row>
    <row r="61" spans="3:22" ht="15" customHeight="1" x14ac:dyDescent="0.15">
      <c r="C61" s="23"/>
      <c r="D61" s="8"/>
      <c r="E61" s="8"/>
      <c r="F61" s="288"/>
      <c r="G61" s="8"/>
      <c r="H61" s="13"/>
      <c r="I61" s="13"/>
      <c r="J61" s="9"/>
      <c r="K61" s="107"/>
      <c r="L61" s="140"/>
      <c r="N61" s="23"/>
      <c r="O61" s="8"/>
      <c r="P61" s="8"/>
      <c r="Q61" s="288"/>
      <c r="R61" s="8"/>
      <c r="S61" s="13"/>
      <c r="T61" s="13"/>
      <c r="U61" s="9"/>
      <c r="V61" s="107"/>
    </row>
    <row r="62" spans="3:22" ht="15" customHeight="1" x14ac:dyDescent="0.15">
      <c r="C62" s="23"/>
      <c r="D62" s="6"/>
      <c r="E62" s="6"/>
      <c r="F62" s="287"/>
      <c r="G62" s="6"/>
      <c r="H62" s="12"/>
      <c r="I62" s="12"/>
      <c r="J62" s="10"/>
      <c r="K62" s="50"/>
      <c r="L62" s="140"/>
      <c r="N62" s="23"/>
      <c r="O62" s="6"/>
      <c r="P62" s="6"/>
      <c r="Q62" s="287"/>
      <c r="R62" s="6"/>
      <c r="S62" s="12"/>
      <c r="T62" s="12"/>
      <c r="U62" s="10"/>
      <c r="V62" s="50"/>
    </row>
    <row r="63" spans="3:22" ht="15" customHeight="1" x14ac:dyDescent="0.15">
      <c r="C63" s="23"/>
      <c r="D63" s="8"/>
      <c r="E63" s="8"/>
      <c r="F63" s="288"/>
      <c r="G63" s="8"/>
      <c r="H63" s="13"/>
      <c r="I63" s="13"/>
      <c r="J63" s="9"/>
      <c r="K63" s="107"/>
      <c r="L63" s="140"/>
      <c r="N63" s="23"/>
      <c r="O63" s="8"/>
      <c r="P63" s="8"/>
      <c r="Q63" s="288"/>
      <c r="R63" s="8"/>
      <c r="S63" s="13"/>
      <c r="T63" s="13"/>
      <c r="U63" s="9"/>
      <c r="V63" s="107"/>
    </row>
    <row r="64" spans="3:22" ht="15" customHeight="1" x14ac:dyDescent="0.15">
      <c r="C64" s="23"/>
      <c r="D64" s="6"/>
      <c r="E64" s="6"/>
      <c r="F64" s="287"/>
      <c r="G64" s="6"/>
      <c r="H64" s="12"/>
      <c r="I64" s="12"/>
      <c r="J64" s="10"/>
      <c r="K64" s="50"/>
      <c r="L64" s="140"/>
      <c r="N64" s="23"/>
      <c r="O64" s="6"/>
      <c r="P64" s="6"/>
      <c r="Q64" s="287"/>
      <c r="R64" s="6"/>
      <c r="S64" s="12"/>
      <c r="T64" s="12"/>
      <c r="U64" s="10"/>
      <c r="V64" s="50"/>
    </row>
    <row r="65" spans="3:22" ht="15" customHeight="1" x14ac:dyDescent="0.15">
      <c r="C65" s="23"/>
      <c r="D65" s="8"/>
      <c r="E65" s="8"/>
      <c r="F65" s="288"/>
      <c r="G65" s="8"/>
      <c r="H65" s="13"/>
      <c r="I65" s="13"/>
      <c r="J65" s="9"/>
      <c r="K65" s="107"/>
      <c r="L65" s="140"/>
      <c r="N65" s="23"/>
      <c r="O65" s="8"/>
      <c r="P65" s="8"/>
      <c r="Q65" s="288"/>
      <c r="R65" s="8"/>
      <c r="S65" s="13"/>
      <c r="T65" s="13"/>
      <c r="U65" s="9"/>
      <c r="V65" s="107"/>
    </row>
    <row r="66" spans="3:22" ht="15" customHeight="1" x14ac:dyDescent="0.15">
      <c r="C66" s="23"/>
      <c r="D66" s="6"/>
      <c r="E66" s="6"/>
      <c r="F66" s="287"/>
      <c r="G66" s="6"/>
      <c r="H66" s="12"/>
      <c r="I66" s="12"/>
      <c r="J66" s="10"/>
      <c r="K66" s="50"/>
      <c r="L66" s="140"/>
      <c r="N66" s="23"/>
      <c r="O66" s="6"/>
      <c r="P66" s="6"/>
      <c r="Q66" s="287"/>
      <c r="R66" s="6"/>
      <c r="S66" s="12"/>
      <c r="T66" s="12"/>
      <c r="U66" s="10"/>
      <c r="V66" s="50"/>
    </row>
    <row r="67" spans="3:22" ht="15" customHeight="1" x14ac:dyDescent="0.15">
      <c r="C67" s="23"/>
      <c r="D67" s="8"/>
      <c r="E67" s="8"/>
      <c r="F67" s="288"/>
      <c r="G67" s="8"/>
      <c r="H67" s="13"/>
      <c r="I67" s="13"/>
      <c r="J67" s="9"/>
      <c r="K67" s="107"/>
      <c r="L67" s="140"/>
      <c r="N67" s="23"/>
      <c r="O67" s="8"/>
      <c r="P67" s="8"/>
      <c r="Q67" s="288"/>
      <c r="R67" s="8"/>
      <c r="S67" s="13"/>
      <c r="T67" s="13"/>
      <c r="U67" s="9"/>
      <c r="V67" s="107"/>
    </row>
    <row r="68" spans="3:22" ht="15" customHeight="1" x14ac:dyDescent="0.15">
      <c r="C68" s="23"/>
      <c r="D68" s="6"/>
      <c r="E68" s="6"/>
      <c r="F68" s="287"/>
      <c r="G68" s="6"/>
      <c r="H68" s="12"/>
      <c r="I68" s="12"/>
      <c r="J68" s="10"/>
      <c r="K68" s="50"/>
      <c r="L68" s="140"/>
      <c r="N68" s="23"/>
      <c r="O68" s="6"/>
      <c r="P68" s="6"/>
      <c r="Q68" s="287"/>
      <c r="R68" s="6"/>
      <c r="S68" s="12"/>
      <c r="T68" s="12"/>
      <c r="U68" s="10"/>
      <c r="V68" s="50"/>
    </row>
    <row r="69" spans="3:22" ht="15" customHeight="1" x14ac:dyDescent="0.15">
      <c r="C69" s="23"/>
      <c r="D69" s="8"/>
      <c r="E69" s="8"/>
      <c r="F69" s="288"/>
      <c r="G69" s="8"/>
      <c r="H69" s="13"/>
      <c r="I69" s="13"/>
      <c r="J69" s="9"/>
      <c r="K69" s="107"/>
      <c r="L69" s="140"/>
      <c r="N69" s="23"/>
      <c r="O69" s="8"/>
      <c r="P69" s="8"/>
      <c r="Q69" s="288"/>
      <c r="R69" s="8"/>
      <c r="S69" s="13"/>
      <c r="T69" s="13"/>
      <c r="U69" s="9"/>
      <c r="V69" s="107"/>
    </row>
    <row r="70" spans="3:22" ht="15" customHeight="1" x14ac:dyDescent="0.15">
      <c r="C70" s="23"/>
      <c r="D70" s="6"/>
      <c r="E70" s="6"/>
      <c r="F70" s="287"/>
      <c r="G70" s="6"/>
      <c r="H70" s="12"/>
      <c r="I70" s="12"/>
      <c r="J70" s="10"/>
      <c r="K70" s="50"/>
      <c r="L70" s="140"/>
      <c r="N70" s="23"/>
      <c r="O70" s="6"/>
      <c r="P70" s="6"/>
      <c r="Q70" s="287"/>
      <c r="R70" s="6"/>
      <c r="S70" s="12"/>
      <c r="T70" s="12"/>
      <c r="U70" s="10"/>
      <c r="V70" s="50"/>
    </row>
    <row r="71" spans="3:22" ht="15" customHeight="1" thickBot="1" x14ac:dyDescent="0.2">
      <c r="C71" s="28"/>
      <c r="D71" s="29"/>
      <c r="E71" s="29"/>
      <c r="F71" s="289"/>
      <c r="G71" s="29"/>
      <c r="H71" s="31"/>
      <c r="I71" s="31"/>
      <c r="J71" s="30"/>
      <c r="K71" s="55"/>
      <c r="L71" s="140"/>
      <c r="N71" s="28"/>
      <c r="O71" s="29"/>
      <c r="P71" s="29"/>
      <c r="Q71" s="289"/>
      <c r="R71" s="29"/>
      <c r="S71" s="31"/>
      <c r="T71" s="31"/>
      <c r="U71" s="30"/>
      <c r="V71" s="55"/>
    </row>
  </sheetData>
  <mergeCells count="4">
    <mergeCell ref="C7:C9"/>
    <mergeCell ref="U7:U9"/>
    <mergeCell ref="J7:J9"/>
    <mergeCell ref="N7:N9"/>
  </mergeCells>
  <phoneticPr fontId="12"/>
  <pageMargins left="0.70866141732283472" right="0.19685039370078741" top="0.78740157480314965" bottom="0.39370078740157483" header="0" footer="0.19685039370078741"/>
  <pageSetup paperSize="9" scale="78" firstPageNumber="2" orientation="portrait" blackAndWhite="1"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ransitionEvaluation="1">
    <tabColor indexed="39"/>
  </sheetPr>
  <dimension ref="A1:AC144"/>
  <sheetViews>
    <sheetView view="pageBreakPreview" zoomScaleNormal="90" zoomScaleSheetLayoutView="100" workbookViewId="0">
      <selection activeCell="A54" sqref="A54"/>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5.625" customWidth="1"/>
    <col min="18" max="18" width="12.125" customWidth="1"/>
    <col min="19" max="19" width="4.625" customWidth="1"/>
    <col min="20" max="20" width="10.625" customWidth="1"/>
    <col min="21" max="21" width="15.625" customWidth="1"/>
    <col min="22" max="22" width="8.625" customWidth="1"/>
    <col min="23" max="23" width="16.625" customWidth="1"/>
    <col min="25" max="28" width="9.625" customWidth="1"/>
  </cols>
  <sheetData>
    <row r="1" spans="1:29" x14ac:dyDescent="0.15">
      <c r="D1" t="s">
        <v>307</v>
      </c>
      <c r="F1" t="s">
        <v>308</v>
      </c>
    </row>
    <row r="2" spans="1:29" x14ac:dyDescent="0.15">
      <c r="D2" t="s">
        <v>272</v>
      </c>
      <c r="F2" s="224" t="s">
        <v>267</v>
      </c>
    </row>
    <row r="3" spans="1:29" x14ac:dyDescent="0.15">
      <c r="D3" t="s">
        <v>274</v>
      </c>
      <c r="F3" s="224" t="s">
        <v>271</v>
      </c>
    </row>
    <row r="4" spans="1:29" ht="14.25" thickBot="1" x14ac:dyDescent="0.2">
      <c r="C4" t="s">
        <v>214</v>
      </c>
      <c r="D4" t="s">
        <v>273</v>
      </c>
      <c r="F4" s="224" t="s">
        <v>268</v>
      </c>
      <c r="O4" t="s">
        <v>214</v>
      </c>
      <c r="AB4" t="s">
        <v>89</v>
      </c>
    </row>
    <row r="5" spans="1:29" ht="13.5" customHeight="1" x14ac:dyDescent="0.15">
      <c r="B5" s="100" t="s">
        <v>83</v>
      </c>
      <c r="N5" t="s">
        <v>215</v>
      </c>
      <c r="O5" s="16"/>
      <c r="P5" s="17"/>
      <c r="Q5" s="17"/>
      <c r="R5" s="18"/>
      <c r="S5" s="17"/>
      <c r="T5" s="18"/>
      <c r="U5" s="18"/>
      <c r="V5" s="18"/>
      <c r="W5" s="19"/>
      <c r="Y5" s="100" t="s">
        <v>216</v>
      </c>
      <c r="Z5">
        <f ca="1">SUM(INDIRECT(AC$6))</f>
        <v>0</v>
      </c>
      <c r="AA5">
        <v>1</v>
      </c>
      <c r="AB5" t="s">
        <v>219</v>
      </c>
      <c r="AC5" t="s">
        <v>217</v>
      </c>
    </row>
    <row r="6" spans="1:29" ht="21" customHeight="1" x14ac:dyDescent="0.2">
      <c r="N6" s="284"/>
      <c r="O6" s="457" t="s">
        <v>339</v>
      </c>
      <c r="P6" s="25"/>
      <c r="Q6" s="25"/>
      <c r="R6" s="25"/>
      <c r="S6" s="25"/>
      <c r="T6" s="25"/>
      <c r="U6" s="25"/>
      <c r="V6" s="25"/>
      <c r="W6" s="26"/>
      <c r="Y6" s="100" t="s">
        <v>218</v>
      </c>
      <c r="Z6">
        <f ca="1">SUM(INDIRECT(AC$7))</f>
        <v>21932310</v>
      </c>
      <c r="AA6">
        <v>2</v>
      </c>
      <c r="AB6" t="s">
        <v>104</v>
      </c>
      <c r="AC6" t="str">
        <f>"AA10..AA"&amp;FIXED(Z7,0,TRUE)</f>
        <v>AA10..AA73</v>
      </c>
    </row>
    <row r="7" spans="1:29" ht="18.75" x14ac:dyDescent="0.2">
      <c r="C7" s="456" t="s">
        <v>338</v>
      </c>
      <c r="D7" s="101"/>
      <c r="E7" s="101"/>
      <c r="F7" s="101"/>
      <c r="G7" s="101"/>
      <c r="H7" s="101"/>
      <c r="I7" s="101"/>
      <c r="N7" s="285"/>
      <c r="O7" s="283"/>
      <c r="P7" s="20"/>
      <c r="Q7" s="458" t="str">
        <f ca="1">IF(OR(AB8=0,TRUNC(Z5,-3)+TRUNC(Z6,-3)=0),"",TRUNC(Z5,-3))</f>
        <v/>
      </c>
      <c r="R7" s="21"/>
      <c r="S7" s="20"/>
      <c r="T7" s="21"/>
      <c r="U7" s="21"/>
      <c r="V7" s="21"/>
      <c r="W7" s="104"/>
      <c r="Y7" s="100" t="s">
        <v>221</v>
      </c>
      <c r="Z7" s="529">
        <v>73</v>
      </c>
      <c r="AA7">
        <v>3</v>
      </c>
      <c r="AB7" t="s">
        <v>230</v>
      </c>
      <c r="AC7" t="str">
        <f>"Y10..Y"&amp;FIXED(Z7,0,TRUE)</f>
        <v>Y10..Y73</v>
      </c>
    </row>
    <row r="8" spans="1:29" ht="18.75" customHeight="1" thickBot="1" x14ac:dyDescent="0.25">
      <c r="A8" t="b">
        <f>SUM(F13:F73)&gt;0</f>
        <v>1</v>
      </c>
      <c r="B8">
        <f ca="1">SUM(INDIRECT(AC8))</f>
        <v>1</v>
      </c>
      <c r="I8" s="111" t="str">
        <f ca="1">"( "&amp;FIXED(A8,0)&amp;" ／ "&amp;FIXED(B$8,0)&amp;" )"</f>
        <v>( 1 ／ 1 )</v>
      </c>
      <c r="N8" s="285"/>
      <c r="O8" s="283"/>
      <c r="P8" s="20"/>
      <c r="Q8" s="459">
        <f ca="1">ROUNDUP(Z6,-6)</f>
        <v>22000000</v>
      </c>
      <c r="R8" s="21"/>
      <c r="S8" s="20"/>
      <c r="T8" s="21"/>
      <c r="U8" s="21"/>
      <c r="V8" s="21"/>
      <c r="W8" s="112" t="str">
        <f ca="1">I8</f>
        <v>( 1 ／ 1 )</v>
      </c>
      <c r="AB8">
        <f>鏡!H2-1</f>
        <v>0</v>
      </c>
      <c r="AC8" t="str">
        <f>"A5..A"&amp;FIXED(Z7,0,TRUE)</f>
        <v>A5..A73</v>
      </c>
    </row>
    <row r="9" spans="1:29" x14ac:dyDescent="0.15">
      <c r="C9" s="16"/>
      <c r="D9" s="102"/>
      <c r="E9" s="102"/>
      <c r="F9" s="18"/>
      <c r="G9" s="102"/>
      <c r="H9" s="102"/>
      <c r="I9" s="48"/>
      <c r="O9" s="756" t="s">
        <v>258</v>
      </c>
      <c r="P9" s="4"/>
      <c r="Q9" s="4"/>
      <c r="R9" s="5"/>
      <c r="S9" s="4"/>
      <c r="T9" s="14" t="s">
        <v>88</v>
      </c>
      <c r="U9" s="15"/>
      <c r="V9" s="755" t="s">
        <v>257</v>
      </c>
      <c r="W9" s="105"/>
    </row>
    <row r="10" spans="1:29"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Y10" t="str">
        <f>IF(AB8=0,"当初","出来高")</f>
        <v>当初</v>
      </c>
      <c r="AA10" t="s">
        <v>216</v>
      </c>
    </row>
    <row r="11" spans="1:29" ht="14.25" thickBot="1" x14ac:dyDescent="0.2">
      <c r="C11" s="71"/>
      <c r="D11" s="40"/>
      <c r="E11" s="40"/>
      <c r="F11" s="36"/>
      <c r="G11" s="40"/>
      <c r="H11" s="40"/>
      <c r="I11" s="52"/>
      <c r="K11" s="1" t="s">
        <v>259</v>
      </c>
      <c r="O11" s="758"/>
      <c r="P11" s="39"/>
      <c r="Q11" s="39"/>
      <c r="R11" s="40"/>
      <c r="S11" s="39"/>
      <c r="T11" s="56" t="s">
        <v>96</v>
      </c>
      <c r="U11" s="56" t="s">
        <v>96</v>
      </c>
      <c r="V11" s="750"/>
      <c r="W11" s="52"/>
    </row>
    <row r="12" spans="1:29" ht="15" customHeight="1" thickTop="1" x14ac:dyDescent="0.15">
      <c r="C12" s="182"/>
      <c r="D12" s="210"/>
      <c r="E12" s="184" t="s">
        <v>519</v>
      </c>
      <c r="F12" s="225"/>
      <c r="G12" s="297" t="str">
        <f ca="1">IF(OR(AB$8=0,L12="b"),"",IF(L12="l",0,"("&amp;FIXED(-F12,K13,0)&amp;M12))</f>
        <v/>
      </c>
      <c r="H12" s="183"/>
      <c r="I12" s="185"/>
      <c r="L12" t="str">
        <f ca="1">CELL("type",F12)</f>
        <v>b</v>
      </c>
      <c r="M12" t="str">
        <f>")"&amp;REPT(" ",2-K13)&amp;IF(K13=0," ","")</f>
        <v xml:space="preserve">)   </v>
      </c>
      <c r="O12" s="253"/>
      <c r="P12" s="207">
        <f>D12</f>
        <v>0</v>
      </c>
      <c r="Q12" s="497" t="str">
        <f>E12</f>
        <v>屋外壁掛型 SUS製</v>
      </c>
      <c r="R12" s="300" t="str">
        <f ca="1">G12</f>
        <v/>
      </c>
      <c r="S12" s="304"/>
      <c r="T12" s="144"/>
      <c r="U12" s="206">
        <f ca="1">IF(OR(AB$8=0,SUM(Y13:AB13)=0),1,IF(L12="l","",SUM(AA13:AB13)))</f>
        <v>1</v>
      </c>
      <c r="V12" s="375"/>
      <c r="W12" s="442"/>
    </row>
    <row r="13" spans="1:29" ht="15" customHeight="1" x14ac:dyDescent="0.15">
      <c r="C13" s="186" t="s">
        <v>466</v>
      </c>
      <c r="D13" s="205" t="s">
        <v>657</v>
      </c>
      <c r="E13" s="188" t="s">
        <v>655</v>
      </c>
      <c r="F13" s="226">
        <v>1</v>
      </c>
      <c r="G13" s="296" t="str">
        <f ca="1">IF(L13="b","",IF(L13="l",0,FIXED(F13,K13,0)&amp;M13))</f>
        <v xml:space="preserve">1    </v>
      </c>
      <c r="H13" s="187" t="s">
        <v>326</v>
      </c>
      <c r="I13" s="189"/>
      <c r="K13" s="215"/>
      <c r="L13" t="str">
        <f ca="1">CELL("type",F13)</f>
        <v>v</v>
      </c>
      <c r="M13" t="str">
        <f>REPT(" ",3-K13)&amp;IF(K13=0," ","")</f>
        <v xml:space="preserve">    </v>
      </c>
      <c r="O13" s="194"/>
      <c r="P13" s="208" t="str">
        <f>IF(ISNUMBER(D13),LOOKUP(D13,$AA$5:$AB$7),D13)</f>
        <v>引 込 開 閉 器 盤</v>
      </c>
      <c r="Q13" s="208" t="str">
        <f>E13</f>
        <v>W500×D200×H1030㎜</v>
      </c>
      <c r="R13" s="301" t="str">
        <f ca="1">G13</f>
        <v xml:space="preserve">1    </v>
      </c>
      <c r="S13" s="305" t="str">
        <f>H13</f>
        <v>面</v>
      </c>
      <c r="T13" s="145">
        <v>286000</v>
      </c>
      <c r="U13" s="216">
        <f ca="1">IF(L13="l","",IF(D13+F13&gt;0,SUM(Y13:Z13),-1))</f>
        <v>286000</v>
      </c>
      <c r="V13" s="376" t="s">
        <v>656</v>
      </c>
      <c r="W13" s="443"/>
      <c r="Y13" s="114">
        <f>IF(D13&gt;0,0,TRUNC(F13*T13))</f>
        <v>286000</v>
      </c>
      <c r="AA13">
        <f ca="1">IF(OR(AB$8=0,L12="l",D13&gt;0,U13=-1),0,IF(L12="b",-U13,TRUNC(F12*T13)))</f>
        <v>0</v>
      </c>
    </row>
    <row r="14" spans="1:29" ht="15" customHeight="1" x14ac:dyDescent="0.15">
      <c r="C14" s="182"/>
      <c r="D14" s="210"/>
      <c r="E14" s="184" t="s">
        <v>429</v>
      </c>
      <c r="F14" s="225"/>
      <c r="G14" s="297" t="str">
        <f ca="1">IF(OR(AB$8=0,L14="b"),"",IF(L14="l",0,"("&amp;FIXED(-F14,K15,0)&amp;M14))</f>
        <v/>
      </c>
      <c r="H14" s="183"/>
      <c r="I14" s="185"/>
      <c r="L14" t="str">
        <f ca="1">CELL("type",F14)</f>
        <v>b</v>
      </c>
      <c r="M14" t="str">
        <f>")"&amp;REPT(" ",2-K15)&amp;IF(K15=0," ","")</f>
        <v xml:space="preserve">)   </v>
      </c>
      <c r="O14" s="194"/>
      <c r="P14" s="207">
        <f>D14</f>
        <v>0</v>
      </c>
      <c r="Q14" s="207" t="str">
        <f>E14</f>
        <v>屋内自立型 鋼板製</v>
      </c>
      <c r="R14" s="300" t="str">
        <f ca="1">G14</f>
        <v/>
      </c>
      <c r="S14" s="304"/>
      <c r="T14" s="144"/>
      <c r="U14" s="206">
        <f ca="1">IF(OR(AB$8=0,SUM(Y15:AB15)=0),1,IF(L14="l","",SUM(AA15:AB15)))</f>
        <v>1</v>
      </c>
      <c r="V14" s="375"/>
      <c r="W14" s="442"/>
    </row>
    <row r="15" spans="1:29" ht="15" customHeight="1" x14ac:dyDescent="0.15">
      <c r="C15" s="186"/>
      <c r="D15" s="205" t="s">
        <v>327</v>
      </c>
      <c r="E15" s="188" t="s">
        <v>658</v>
      </c>
      <c r="F15" s="226">
        <v>1</v>
      </c>
      <c r="G15" s="296" t="str">
        <f ca="1">IF(L15="b","",IF(L15="l",0,FIXED(F15,K15,0)&amp;M15))</f>
        <v xml:space="preserve">1    </v>
      </c>
      <c r="H15" s="187" t="s">
        <v>422</v>
      </c>
      <c r="I15" s="189"/>
      <c r="K15" s="215"/>
      <c r="L15" t="str">
        <f ca="1">CELL("type",F15)</f>
        <v>v</v>
      </c>
      <c r="M15" t="str">
        <f>REPT(" ",3-K15)&amp;IF(K15=0," ","")</f>
        <v xml:space="preserve">    </v>
      </c>
      <c r="O15" s="194" t="s">
        <v>85</v>
      </c>
      <c r="P15" s="208" t="str">
        <f>IF(ISNUMBER(D15),LOOKUP(D15,$AA$5:$AB$7),D15)</f>
        <v>動 力 制 御 盤</v>
      </c>
      <c r="Q15" s="208" t="str">
        <f>E15</f>
        <v>W800×D600×H1950㎜</v>
      </c>
      <c r="R15" s="301" t="str">
        <f ca="1">G15</f>
        <v xml:space="preserve">1    </v>
      </c>
      <c r="S15" s="305" t="str">
        <f>H15</f>
        <v>面</v>
      </c>
      <c r="T15" s="145">
        <v>2070000</v>
      </c>
      <c r="U15" s="216">
        <f ca="1">IF(L15="l","",IF(D15+F15&gt;0,SUM(Y15:Z15),-1))</f>
        <v>2070000</v>
      </c>
      <c r="V15" s="376" t="s">
        <v>470</v>
      </c>
      <c r="W15" s="444"/>
      <c r="Y15" s="114">
        <f>IF(D15&gt;0,0,TRUNC(F15*T15))</f>
        <v>2070000</v>
      </c>
      <c r="Z15" t="b">
        <f>IF($D15=1,SUM(Y$13:Y13)-SUM(Z$13:Z13),IF($D15=2,$Z$6,IF($D15=3,TRUNC($Z$6,-3))))</f>
        <v>0</v>
      </c>
      <c r="AA15">
        <f ca="1">IF(OR(AB$8=0,L14="l",D15&gt;0,U15=-1),0,IF(L14="b",-U15,TRUNC(F14*T15)))</f>
        <v>0</v>
      </c>
      <c r="AB15" t="b">
        <f>IF($D15=1,SUM(AA$13:AA13)-SUM(AB$13:AB13),IF($D15=2,$Z$5,IF($D15=3,TRUNC($Z$5,-3))))</f>
        <v>0</v>
      </c>
    </row>
    <row r="16" spans="1:29" ht="15" customHeight="1" x14ac:dyDescent="0.15">
      <c r="C16" s="182"/>
      <c r="D16" s="210"/>
      <c r="E16" s="184" t="s">
        <v>430</v>
      </c>
      <c r="F16" s="225"/>
      <c r="G16" s="297" t="str">
        <f ca="1">IF(OR(AB$8=0,L16="b"),"",IF(L16="l",0,"("&amp;FIXED(-F16,K17,0)&amp;M16))</f>
        <v/>
      </c>
      <c r="H16" s="183"/>
      <c r="I16" s="185"/>
      <c r="L16" t="str">
        <f t="shared" ref="L16:L53" ca="1" si="0">CELL("type",F16)</f>
        <v>b</v>
      </c>
      <c r="M16" t="str">
        <f>")"&amp;REPT(" ",2-K17)&amp;IF(K17=0," ","")</f>
        <v xml:space="preserve">)   </v>
      </c>
      <c r="O16" s="194"/>
      <c r="P16" s="207">
        <f>D16</f>
        <v>0</v>
      </c>
      <c r="Q16" s="207" t="str">
        <f>E16</f>
        <v>屋内自立型 鋼板製 INV</v>
      </c>
      <c r="R16" s="300" t="str">
        <f t="shared" ref="R16:R53" ca="1" si="1">G16</f>
        <v/>
      </c>
      <c r="S16" s="304"/>
      <c r="T16" s="144"/>
      <c r="U16" s="206">
        <f ca="1">IF(OR(AB$8=0,SUM(Y17:AB17)=0),1,IF(L16="l","",SUM(AA17:AB17)))</f>
        <v>1</v>
      </c>
      <c r="V16" s="375"/>
      <c r="W16" s="442"/>
    </row>
    <row r="17" spans="3:28" ht="15" customHeight="1" x14ac:dyDescent="0.15">
      <c r="C17" s="186"/>
      <c r="D17" s="205" t="s">
        <v>327</v>
      </c>
      <c r="E17" s="188" t="s">
        <v>658</v>
      </c>
      <c r="F17" s="226">
        <v>2</v>
      </c>
      <c r="G17" s="296" t="str">
        <f ca="1">IF(L17="b","",IF(L17="l",0,FIXED(F17,K17,0)&amp;M17))</f>
        <v xml:space="preserve">2    </v>
      </c>
      <c r="H17" s="187" t="s">
        <v>468</v>
      </c>
      <c r="I17" s="189"/>
      <c r="K17" s="215"/>
      <c r="L17" t="str">
        <f t="shared" ca="1" si="0"/>
        <v>v</v>
      </c>
      <c r="M17" t="str">
        <f>REPT(" ",3-K17)&amp;IF(K17=0," ","")</f>
        <v xml:space="preserve">    </v>
      </c>
      <c r="O17" s="194" t="s">
        <v>36</v>
      </c>
      <c r="P17" s="208" t="str">
        <f>IF(ISNUMBER(D17),LOOKUP(D17,$AA$5:$AB$7),D17)</f>
        <v>動 力 制 御 盤</v>
      </c>
      <c r="Q17" s="208" t="str">
        <f t="shared" ref="Q17:Q53" si="2">E17</f>
        <v>W800×D600×H1950㎜</v>
      </c>
      <c r="R17" s="301" t="str">
        <f t="shared" ca="1" si="1"/>
        <v xml:space="preserve">2    </v>
      </c>
      <c r="S17" s="305" t="str">
        <f>H17</f>
        <v>面</v>
      </c>
      <c r="T17" s="145">
        <v>2730000</v>
      </c>
      <c r="U17" s="216">
        <f ca="1">IF(L17="l","",IF(D17+F17&gt;0,SUM(Y17:Z17),-1))</f>
        <v>5460000</v>
      </c>
      <c r="V17" s="376" t="s">
        <v>471</v>
      </c>
      <c r="W17" s="444"/>
      <c r="Y17" s="114">
        <f>IF(D17&gt;0,0,TRUNC(F17*T17))</f>
        <v>5460000</v>
      </c>
      <c r="Z17" t="b">
        <f>IF($D17=1,SUM(Y$13:Y15)-SUM(Z$13:Z15),IF($D17=2,$Z$6,IF($D17=3,TRUNC($Z$6,-3))))</f>
        <v>0</v>
      </c>
      <c r="AA17">
        <f ca="1">IF(OR(AB$8=0,L16="l",D17&gt;0,U17=-1),0,IF(L16="b",-U17,TRUNC(F16*T17)))</f>
        <v>0</v>
      </c>
      <c r="AB17" t="b">
        <f>IF($D17=1,SUM(AA$13:AA15)-SUM(AB$13:AB15),IF($D17=2,$Z$5,IF($D17=3,TRUNC($Z$5,-3))))</f>
        <v>0</v>
      </c>
    </row>
    <row r="18" spans="3:28" ht="15" customHeight="1" x14ac:dyDescent="0.15">
      <c r="C18" s="182"/>
      <c r="D18" s="210"/>
      <c r="E18" s="184" t="s">
        <v>429</v>
      </c>
      <c r="F18" s="225"/>
      <c r="G18" s="297" t="str">
        <f ca="1">IF(OR(AB$8=0,L18="b"),"",IF(L18="l",0,"("&amp;FIXED(-F18,K19,0)&amp;M18))</f>
        <v/>
      </c>
      <c r="H18" s="183"/>
      <c r="I18" s="185"/>
      <c r="L18" t="str">
        <f t="shared" ca="1" si="0"/>
        <v>b</v>
      </c>
      <c r="M18" t="str">
        <f>")"&amp;REPT(" ",2-K19)&amp;IF(K19=0," ","")</f>
        <v xml:space="preserve">)   </v>
      </c>
      <c r="O18" s="194"/>
      <c r="P18" s="207">
        <f>D18</f>
        <v>0</v>
      </c>
      <c r="Q18" s="207" t="str">
        <f t="shared" si="2"/>
        <v>屋内自立型 鋼板製</v>
      </c>
      <c r="R18" s="300" t="str">
        <f t="shared" ca="1" si="1"/>
        <v/>
      </c>
      <c r="S18" s="304"/>
      <c r="T18" s="144"/>
      <c r="U18" s="206">
        <f ca="1">IF(OR(AB$8=0,SUM(Y19:AB19)=0),1,IF(L18="l","",SUM(AA19:AB19)))</f>
        <v>1</v>
      </c>
      <c r="V18" s="375"/>
      <c r="W18" s="442"/>
    </row>
    <row r="19" spans="3:28" ht="15" customHeight="1" x14ac:dyDescent="0.15">
      <c r="C19" s="186"/>
      <c r="D19" s="205" t="s">
        <v>0</v>
      </c>
      <c r="E19" s="188" t="s">
        <v>658</v>
      </c>
      <c r="F19" s="226">
        <v>1</v>
      </c>
      <c r="G19" s="296" t="str">
        <f ca="1">IF(L19="b","",IF(L19="l",0,FIXED(F19,K19,0)&amp;M19))</f>
        <v xml:space="preserve">1    </v>
      </c>
      <c r="H19" s="187" t="s">
        <v>326</v>
      </c>
      <c r="I19" s="189"/>
      <c r="K19" s="215"/>
      <c r="L19" t="str">
        <f t="shared" ca="1" si="0"/>
        <v>v</v>
      </c>
      <c r="M19" t="str">
        <f>REPT(" ",3-K19)&amp;IF(K19=0," ","")</f>
        <v xml:space="preserve">    </v>
      </c>
      <c r="O19" s="194" t="s">
        <v>250</v>
      </c>
      <c r="P19" s="208" t="str">
        <f>IF(ISNUMBER(D19),LOOKUP(D19,$AA$5:$AB$7),D19)</f>
        <v>計　　装　  盤</v>
      </c>
      <c r="Q19" s="208" t="str">
        <f t="shared" si="2"/>
        <v>W800×D600×H1950㎜</v>
      </c>
      <c r="R19" s="301" t="str">
        <f t="shared" ca="1" si="1"/>
        <v xml:space="preserve">1    </v>
      </c>
      <c r="S19" s="305" t="str">
        <f>H19</f>
        <v>面</v>
      </c>
      <c r="T19" s="145">
        <v>1730000</v>
      </c>
      <c r="U19" s="216">
        <f ca="1">IF(L19="l","",IF(D19+F19&gt;0,SUM(Y19:Z19),-1))</f>
        <v>1730000</v>
      </c>
      <c r="V19" s="376" t="s">
        <v>659</v>
      </c>
      <c r="W19" s="443"/>
      <c r="Y19" s="114">
        <f>IF(D19&gt;0,0,TRUNC(F19*T19))</f>
        <v>1730000</v>
      </c>
      <c r="Z19" t="b">
        <f>IF($D19=1,SUM(Y$13:Y17)-SUM(Z$13:Z17),IF($D19=2,$Z$6,IF($D19=3,TRUNC($Z$6,-3))))</f>
        <v>0</v>
      </c>
      <c r="AA19">
        <f ca="1">IF(OR(AB$8=0,L18="l",D19&gt;0,U19=-1),0,IF(L18="b",-U19,TRUNC(F18*T19)))</f>
        <v>0</v>
      </c>
      <c r="AB19" t="b">
        <f>IF($D19=1,SUM(AA$13:AA17)-SUM(AB$13:AB17),IF($D19=2,$Z$5,IF($D19=3,TRUNC($Z$5,-3))))</f>
        <v>0</v>
      </c>
    </row>
    <row r="20" spans="3:28" ht="15" customHeight="1" x14ac:dyDescent="0.15">
      <c r="C20" s="182"/>
      <c r="D20" s="210"/>
      <c r="E20" s="184" t="s">
        <v>431</v>
      </c>
      <c r="F20" s="225"/>
      <c r="G20" s="297" t="str">
        <f ca="1">IF(OR(AB$8=0,L20="b"),"",IF(L20="l",0,"("&amp;FIXED(-F20,K21,0)&amp;M20))</f>
        <v/>
      </c>
      <c r="H20" s="183"/>
      <c r="I20" s="185"/>
      <c r="L20" t="str">
        <f t="shared" ca="1" si="0"/>
        <v>b</v>
      </c>
      <c r="M20" t="str">
        <f>")"&amp;REPT(" ",2-K21)&amp;IF(K21=0," ","")</f>
        <v xml:space="preserve">)   </v>
      </c>
      <c r="O20" s="194"/>
      <c r="P20" s="207">
        <f>D20</f>
        <v>0</v>
      </c>
      <c r="Q20" s="207" t="str">
        <f t="shared" si="2"/>
        <v>屋内壁掛型　鋼板製</v>
      </c>
      <c r="R20" s="300" t="str">
        <f t="shared" ca="1" si="1"/>
        <v/>
      </c>
      <c r="S20" s="304"/>
      <c r="T20" s="144"/>
      <c r="U20" s="206">
        <f ca="1">IF(OR(AB$8=0,SUM(Y21:AB21)=0),1,IF(L20="l","",SUM(AA21:AB21)))</f>
        <v>1</v>
      </c>
      <c r="V20" s="375"/>
      <c r="W20" s="442"/>
    </row>
    <row r="21" spans="3:28" ht="15" customHeight="1" x14ac:dyDescent="0.15">
      <c r="C21" s="186"/>
      <c r="D21" s="205" t="s">
        <v>522</v>
      </c>
      <c r="E21" s="188" t="s">
        <v>660</v>
      </c>
      <c r="F21" s="226">
        <v>1</v>
      </c>
      <c r="G21" s="296" t="str">
        <f ca="1">IF(L21="b","",IF(L21="l",0,FIXED(F21,K21,0)&amp;M21))</f>
        <v xml:space="preserve">1    </v>
      </c>
      <c r="H21" s="187" t="s">
        <v>326</v>
      </c>
      <c r="I21" s="189"/>
      <c r="K21" s="215"/>
      <c r="L21" t="str">
        <f t="shared" ca="1" si="0"/>
        <v>v</v>
      </c>
      <c r="M21" t="str">
        <f>REPT(" ",3-K21)&amp;IF(K21=0," ","")</f>
        <v xml:space="preserve">    </v>
      </c>
      <c r="O21" s="194" t="s">
        <v>251</v>
      </c>
      <c r="P21" s="208" t="str">
        <f>IF(ISNUMBER(D21),LOOKUP(D21,$AA$5:$AB$7),D21)</f>
        <v>コ ン セ ン ト 盤</v>
      </c>
      <c r="Q21" s="208" t="str">
        <f t="shared" si="2"/>
        <v>W400×D250×H500㎜</v>
      </c>
      <c r="R21" s="301" t="str">
        <f t="shared" ca="1" si="1"/>
        <v xml:space="preserve">1    </v>
      </c>
      <c r="S21" s="305" t="str">
        <f>H21</f>
        <v>面</v>
      </c>
      <c r="T21" s="145">
        <v>84000</v>
      </c>
      <c r="U21" s="216">
        <f ca="1">IF(L21="l","",IF(D21+F21&gt;0,SUM(Y21:Z21),-1))</f>
        <v>84000</v>
      </c>
      <c r="V21" s="376" t="s">
        <v>670</v>
      </c>
      <c r="W21" s="443"/>
      <c r="Y21" s="114">
        <f>IF(D21&gt;0,0,TRUNC(F21*T21))</f>
        <v>84000</v>
      </c>
      <c r="Z21" t="b">
        <f>IF($D21=1,SUM(Y$13:Y19)-SUM(Z$13:Z19),IF($D21=2,$Z$6,IF($D21=3,TRUNC($Z$6,-3))))</f>
        <v>0</v>
      </c>
      <c r="AA21">
        <f ca="1">IF(OR(AB$8=0,L20="l",D21&gt;0,U21=-1),0,IF(L20="b",-U21,TRUNC(F20*T21)))</f>
        <v>0</v>
      </c>
      <c r="AB21" t="b">
        <f>IF($D21=1,SUM(AA$13:AA19)-SUM(AB$13:AB19),IF($D21=2,$Z$5,IF($D21=3,TRUNC($Z$5,-3))))</f>
        <v>0</v>
      </c>
    </row>
    <row r="22" spans="3:28" ht="15" customHeight="1" x14ac:dyDescent="0.15">
      <c r="C22" s="182"/>
      <c r="D22" s="210"/>
      <c r="E22" s="184" t="s">
        <v>523</v>
      </c>
      <c r="F22" s="225"/>
      <c r="G22" s="297" t="str">
        <f ca="1">IF(OR(AB$8=0,L22="b"),"",IF(L22="l",0,"("&amp;FIXED(-F22,K23,0)&amp;M22))</f>
        <v/>
      </c>
      <c r="H22" s="183"/>
      <c r="I22" s="185"/>
      <c r="L22" t="str">
        <f t="shared" ca="1" si="0"/>
        <v>b</v>
      </c>
      <c r="M22" t="str">
        <f>")"&amp;REPT(" ",2-K23)&amp;IF(K23=0," ","")</f>
        <v xml:space="preserve">)   </v>
      </c>
      <c r="O22" s="194"/>
      <c r="P22" s="207">
        <f>D22</f>
        <v>0</v>
      </c>
      <c r="Q22" s="207" t="str">
        <f t="shared" si="2"/>
        <v>低騒音型ﾃﾞｨｰｾﾞﾙ発電機</v>
      </c>
      <c r="R22" s="300" t="str">
        <f t="shared" ca="1" si="1"/>
        <v/>
      </c>
      <c r="S22" s="304"/>
      <c r="T22" s="144"/>
      <c r="U22" s="206">
        <f ca="1">IF(OR(AB$8=0,SUM(Y23:AB23)=0),1,IF(L22="l","",SUM(AA23:AB23)))</f>
        <v>1</v>
      </c>
      <c r="V22" s="375"/>
      <c r="W22" s="442"/>
    </row>
    <row r="23" spans="3:28" ht="15" customHeight="1" x14ac:dyDescent="0.15">
      <c r="C23" s="186"/>
      <c r="D23" s="205" t="s">
        <v>661</v>
      </c>
      <c r="E23" s="188" t="s">
        <v>662</v>
      </c>
      <c r="F23" s="226">
        <v>1</v>
      </c>
      <c r="G23" s="296" t="str">
        <f ca="1">IF(L23="b","",IF(L23="l",0,FIXED(F23,K23,0)&amp;M23))</f>
        <v xml:space="preserve">1    </v>
      </c>
      <c r="H23" s="187" t="s">
        <v>472</v>
      </c>
      <c r="I23" s="189"/>
      <c r="K23" s="215"/>
      <c r="L23" t="str">
        <f t="shared" ca="1" si="0"/>
        <v>v</v>
      </c>
      <c r="M23" t="str">
        <f>REPT(" ",3-K23)&amp;IF(K23=0," ","")</f>
        <v xml:space="preserve">    </v>
      </c>
      <c r="O23" s="194" t="s">
        <v>427</v>
      </c>
      <c r="P23" s="208" t="str">
        <f>IF(ISNUMBER(D23),LOOKUP(D23,$AA$5:$AB$7),D23)</f>
        <v>非 常 用 発 電 機</v>
      </c>
      <c r="Q23" s="208" t="str">
        <f t="shared" si="2"/>
        <v>(ｷｭｰﾋﾞｸﾙ型)～35KVA</v>
      </c>
      <c r="R23" s="301" t="str">
        <f t="shared" ca="1" si="1"/>
        <v xml:space="preserve">1    </v>
      </c>
      <c r="S23" s="305" t="str">
        <f>H23</f>
        <v>基</v>
      </c>
      <c r="T23" s="145">
        <v>5250000</v>
      </c>
      <c r="U23" s="216">
        <f ca="1">IF(L23="l","",IF(D23+F23&gt;0,SUM(Y23:Z23),-1))</f>
        <v>5250000</v>
      </c>
      <c r="V23" s="376" t="s">
        <v>663</v>
      </c>
      <c r="W23" s="443"/>
      <c r="Y23" s="114">
        <f>IF(D23&gt;0,0,TRUNC(F23*T23))</f>
        <v>5250000</v>
      </c>
      <c r="Z23" t="b">
        <f>IF($D23=1,SUM(Y$13:Y21)-SUM(Z$13:Z21),IF($D23=2,$Z$6,IF($D23=3,TRUNC($Z$6,-3))))</f>
        <v>0</v>
      </c>
      <c r="AA23">
        <f ca="1">IF(OR(AB$8=0,L22="l",D23&gt;0,U23=-1),0,IF(L22="b",-U23,TRUNC(F22*T23)))</f>
        <v>0</v>
      </c>
      <c r="AB23" t="b">
        <f>IF($D23=1,SUM(AA$13:AA21)-SUM(AB$13:AB21),IF($D23=2,$Z$5,IF($D23=3,TRUNC($Z$5,-3))))</f>
        <v>0</v>
      </c>
    </row>
    <row r="24" spans="3:28" ht="15" customHeight="1" x14ac:dyDescent="0.15">
      <c r="C24" s="182"/>
      <c r="D24" s="210"/>
      <c r="E24" s="184" t="s">
        <v>469</v>
      </c>
      <c r="F24" s="225"/>
      <c r="G24" s="297" t="str">
        <f ca="1">IF(OR(AB$8=0,L24="b"),"",IF(L24="l",0,"("&amp;FIXED(-F24,K25,0)&amp;M24))</f>
        <v/>
      </c>
      <c r="H24" s="183"/>
      <c r="I24" s="185"/>
      <c r="L24" t="str">
        <f t="shared" ca="1" si="0"/>
        <v>b</v>
      </c>
      <c r="M24" t="str">
        <f>")"&amp;REPT(" ",2-K25)&amp;IF(K25=0," ","")</f>
        <v xml:space="preserve">)   </v>
      </c>
      <c r="O24" s="194"/>
      <c r="P24" s="317">
        <f>D24</f>
        <v>0</v>
      </c>
      <c r="Q24" s="207" t="str">
        <f t="shared" si="2"/>
        <v>2線式変換器一体型</v>
      </c>
      <c r="R24" s="300" t="str">
        <f t="shared" ca="1" si="1"/>
        <v/>
      </c>
      <c r="S24" s="304"/>
      <c r="T24" s="144"/>
      <c r="U24" s="206">
        <f ca="1">IF(OR(AB$8=0,SUM(Y25:AB25)=0),1,IF(L24="l","",SUM(AA25:AB25)))</f>
        <v>1</v>
      </c>
      <c r="V24" s="375"/>
      <c r="W24" s="442"/>
    </row>
    <row r="25" spans="3:28" ht="15" customHeight="1" x14ac:dyDescent="0.15">
      <c r="C25" s="186"/>
      <c r="D25" s="205" t="s">
        <v>520</v>
      </c>
      <c r="E25" s="188" t="s">
        <v>664</v>
      </c>
      <c r="F25" s="226">
        <v>2</v>
      </c>
      <c r="G25" s="296" t="str">
        <f ca="1">IF(L25="b","",IF(L25="l",0,FIXED(F25,K25,0)&amp;M25))</f>
        <v xml:space="preserve">2    </v>
      </c>
      <c r="H25" s="187" t="s">
        <v>472</v>
      </c>
      <c r="I25" s="189"/>
      <c r="K25" s="215"/>
      <c r="L25" t="str">
        <f t="shared" ca="1" si="0"/>
        <v>v</v>
      </c>
      <c r="M25" t="str">
        <f>REPT(" ",3-K25)&amp;IF(K25=0," ","")</f>
        <v xml:space="preserve">    </v>
      </c>
      <c r="O25" s="194" t="s">
        <v>428</v>
      </c>
      <c r="P25" s="208" t="str">
        <f>IF(ISNUMBER(D25),LOOKUP(D25,$AA$5:$AB$7),D25)</f>
        <v>電磁流量計(流入)</v>
      </c>
      <c r="Q25" s="208" t="str">
        <f t="shared" si="2"/>
        <v>125A 予備短管付</v>
      </c>
      <c r="R25" s="301" t="str">
        <f t="shared" ca="1" si="1"/>
        <v xml:space="preserve">2    </v>
      </c>
      <c r="S25" s="305" t="str">
        <f>H25</f>
        <v>基</v>
      </c>
      <c r="T25" s="370">
        <v>1580000</v>
      </c>
      <c r="U25" s="216">
        <f ca="1">IF(L25="l","",IF(D25+F25&gt;0,SUM(Y25:Z25),-1))</f>
        <v>3160000</v>
      </c>
      <c r="V25" s="516" t="s">
        <v>635</v>
      </c>
      <c r="W25" s="443"/>
      <c r="Y25" s="114">
        <f>IF(D25&gt;0,0,TRUNC(F25*T25))</f>
        <v>3160000</v>
      </c>
      <c r="Z25" t="b">
        <f>IF($D25=1,SUM(Y$13:Y23)-SUM(Z$13:Z23),IF($D25=2,$Z$6,IF($D25=3,TRUNC($Z$6,-3))))</f>
        <v>0</v>
      </c>
      <c r="AA25">
        <f ca="1">IF(OR(AB$8=0,L24="l",D25&gt;0,U25=-1),0,IF(L24="b",-U25,TRUNC(F24*T25)))</f>
        <v>0</v>
      </c>
      <c r="AB25" t="b">
        <f>IF($D25=1,SUM(AA$13:AA23)-SUM(AB$13:AB23),IF($D25=2,$Z$5,IF($D25=3,TRUNC($Z$5,-3))))</f>
        <v>0</v>
      </c>
    </row>
    <row r="26" spans="3:28" ht="15" customHeight="1" x14ac:dyDescent="0.15">
      <c r="C26" s="182"/>
      <c r="D26" s="210"/>
      <c r="E26" s="184" t="s">
        <v>469</v>
      </c>
      <c r="F26" s="225"/>
      <c r="G26" s="297" t="str">
        <f ca="1">IF(OR(AB$8=0,L26="b"),"",IF(L26="l",0,"("&amp;FIXED(-F26,K27,0)&amp;M26))</f>
        <v/>
      </c>
      <c r="H26" s="183"/>
      <c r="I26" s="185"/>
      <c r="L26" t="str">
        <f t="shared" ca="1" si="0"/>
        <v>b</v>
      </c>
      <c r="M26" t="str">
        <f>")"&amp;REPT(" ",2-K27)&amp;IF(K27=0," ","")</f>
        <v xml:space="preserve">)   </v>
      </c>
      <c r="O26" s="194"/>
      <c r="P26" s="207">
        <f>D26</f>
        <v>0</v>
      </c>
      <c r="Q26" s="207" t="str">
        <f t="shared" si="2"/>
        <v>2線式変換器一体型</v>
      </c>
      <c r="R26" s="300" t="str">
        <f t="shared" ca="1" si="1"/>
        <v/>
      </c>
      <c r="S26" s="304"/>
      <c r="T26" s="144"/>
      <c r="U26" s="206">
        <f ca="1">IF(OR(AB$8=0,SUM(Y27:AB27)=0),1,IF(L26="l","",SUM(AA27:AB27)))</f>
        <v>1</v>
      </c>
      <c r="V26" s="375"/>
      <c r="W26" s="448"/>
    </row>
    <row r="27" spans="3:28" ht="15" customHeight="1" x14ac:dyDescent="0.15">
      <c r="C27" s="186"/>
      <c r="D27" s="205" t="s">
        <v>521</v>
      </c>
      <c r="E27" s="188" t="s">
        <v>665</v>
      </c>
      <c r="F27" s="226">
        <v>1</v>
      </c>
      <c r="G27" s="296" t="str">
        <f ca="1">IF(L27="b","",IF(L27="l",0,FIXED(F27,K27,0)&amp;M27))</f>
        <v xml:space="preserve">1    </v>
      </c>
      <c r="H27" s="187" t="s">
        <v>228</v>
      </c>
      <c r="I27" s="189"/>
      <c r="K27" s="215"/>
      <c r="L27" t="str">
        <f t="shared" ca="1" si="0"/>
        <v>v</v>
      </c>
      <c r="M27" t="str">
        <f>REPT(" ",3-K27)&amp;IF(K27=0," ","")</f>
        <v xml:space="preserve">    </v>
      </c>
      <c r="O27" s="194" t="s">
        <v>253</v>
      </c>
      <c r="P27" s="208" t="str">
        <f>IF(ISNUMBER(D27),LOOKUP(D27,$AA$5:$AB$7),D27)</f>
        <v>電磁流量計(汚泥)</v>
      </c>
      <c r="Q27" s="208" t="str">
        <f t="shared" si="2"/>
        <v xml:space="preserve"> 80A 予備短管付</v>
      </c>
      <c r="R27" s="301" t="str">
        <f t="shared" ca="1" si="1"/>
        <v xml:space="preserve">1    </v>
      </c>
      <c r="S27" s="305" t="str">
        <f>H27</f>
        <v>基</v>
      </c>
      <c r="T27" s="510">
        <v>1000000</v>
      </c>
      <c r="U27" s="216">
        <f ca="1">IF(L27="l","",IF(D27+F27&gt;0,SUM(Y27:Z27),-1))</f>
        <v>1000000</v>
      </c>
      <c r="V27" s="517" t="s">
        <v>667</v>
      </c>
      <c r="W27" s="447"/>
      <c r="Y27" s="114">
        <f>IF(D27&gt;0,0,TRUNC(F27*T27))</f>
        <v>1000000</v>
      </c>
      <c r="Z27" t="b">
        <f>IF($D27=1,SUM(Y$13:Y25)-SUM(Z$13:Z25),IF($D27=2,$Z$6,IF($D27=3,TRUNC($Z$6,-3))))</f>
        <v>0</v>
      </c>
      <c r="AA27">
        <f ca="1">IF(OR(AB$8=0,L26="l",D27&gt;0,U27=-1),0,IF(L26="b",-U27,TRUNC(F26*T27)))</f>
        <v>0</v>
      </c>
      <c r="AB27" t="b">
        <f>IF($D27=1,SUM(AA$13:AA25)-SUM(AB$13:AB25),IF($D27=2,$Z$5,IF($D27=3,TRUNC($Z$5,-3))))</f>
        <v>0</v>
      </c>
    </row>
    <row r="28" spans="3:28" ht="15" customHeight="1" x14ac:dyDescent="0.15">
      <c r="C28" s="182"/>
      <c r="D28" s="210"/>
      <c r="E28" s="184"/>
      <c r="F28" s="225"/>
      <c r="G28" s="297" t="str">
        <f ca="1">IF(OR(AB$8=0,L28="b"),"",IF(L28="l",0,"("&amp;FIXED(-F28,K29,0)&amp;M28))</f>
        <v/>
      </c>
      <c r="H28" s="183"/>
      <c r="I28" s="185" t="s">
        <v>524</v>
      </c>
      <c r="L28" t="str">
        <f t="shared" ca="1" si="0"/>
        <v>b</v>
      </c>
      <c r="M28" t="str">
        <f>")"&amp;REPT(" ",2-K29)&amp;IF(K29=0," ","")</f>
        <v xml:space="preserve">)   </v>
      </c>
      <c r="O28" s="194"/>
      <c r="P28" s="207">
        <f>D28</f>
        <v>0</v>
      </c>
      <c r="Q28" s="207">
        <f t="shared" si="2"/>
        <v>0</v>
      </c>
      <c r="R28" s="300" t="str">
        <f t="shared" ca="1" si="1"/>
        <v/>
      </c>
      <c r="S28" s="304"/>
      <c r="T28" s="144"/>
      <c r="U28" s="206">
        <f ca="1">IF(OR(AB$8=0,SUM(Y29:AB29)=0),1,IF(L28="l","",SUM(AA29:AB29)))</f>
        <v>1</v>
      </c>
      <c r="V28" s="375"/>
      <c r="W28" s="503" t="str">
        <f>I28</f>
        <v>ポ4,流調5,脱離3,</v>
      </c>
    </row>
    <row r="29" spans="3:28" ht="15" customHeight="1" x14ac:dyDescent="0.15">
      <c r="C29" s="186"/>
      <c r="D29" s="205" t="s">
        <v>1</v>
      </c>
      <c r="E29" s="188" t="s">
        <v>423</v>
      </c>
      <c r="F29" s="226">
        <v>16</v>
      </c>
      <c r="G29" s="296" t="str">
        <f ca="1">IF(L29="b","",IF(L29="l",0,FIXED(F29,K29,0)&amp;M29))</f>
        <v xml:space="preserve">16    </v>
      </c>
      <c r="H29" s="187" t="s">
        <v>252</v>
      </c>
      <c r="I29" s="640" t="s">
        <v>666</v>
      </c>
      <c r="K29" s="215"/>
      <c r="L29" t="str">
        <f t="shared" ca="1" si="0"/>
        <v>v</v>
      </c>
      <c r="M29" t="str">
        <f>REPT(" ",3-K29)&amp;IF(K29=0," ","")</f>
        <v xml:space="preserve">    </v>
      </c>
      <c r="O29" s="194"/>
      <c r="P29" s="208" t="str">
        <f>IF(ISNUMBER(D29),LOOKUP(D29,$AA$5:$AB$7),D29)</f>
        <v>レベルスイッチ</v>
      </c>
      <c r="Q29" s="208" t="str">
        <f t="shared" si="2"/>
        <v>浮子転倒式　合成樹脂製</v>
      </c>
      <c r="R29" s="301" t="str">
        <f t="shared" ca="1" si="1"/>
        <v xml:space="preserve">16    </v>
      </c>
      <c r="S29" s="305" t="str">
        <f>H29</f>
        <v>個</v>
      </c>
      <c r="T29" s="145">
        <v>15900</v>
      </c>
      <c r="U29" s="216">
        <f ca="1">IF(L29="l","",IF(D29+F29&gt;0,SUM(Y29:Z29),-1))</f>
        <v>254400</v>
      </c>
      <c r="V29" s="376" t="s">
        <v>473</v>
      </c>
      <c r="W29" s="504" t="str">
        <f>I29</f>
        <v xml:space="preserve">散水2,汚貯2 </v>
      </c>
      <c r="Y29" s="114">
        <f>IF(D29&gt;0,0,TRUNC(F29*T29))</f>
        <v>254400</v>
      </c>
      <c r="Z29" t="b">
        <f>IF($D29=1,SUM(Y$13:Y27)-SUM(Z$13:Z27),IF($D29=2,$Z$6,IF($D29=3,TRUNC($Z$6,-3))))</f>
        <v>0</v>
      </c>
      <c r="AA29">
        <f ca="1">IF(OR(AB$8=0,L28="l",D29&gt;0,U29=-1),0,IF(L28="b",-U29,TRUNC(F28*T29)))</f>
        <v>0</v>
      </c>
      <c r="AB29" t="b">
        <f>IF($D29=1,SUM(AA$13:AA27)-SUM(AB$13:AB27),IF($D29=2,$Z$5,IF($D29=3,TRUNC($Z$5,-3))))</f>
        <v>0</v>
      </c>
    </row>
    <row r="30" spans="3:28" ht="15" customHeight="1" x14ac:dyDescent="0.15">
      <c r="C30" s="182"/>
      <c r="D30" s="210"/>
      <c r="E30" s="492" t="s">
        <v>640</v>
      </c>
      <c r="F30" s="225"/>
      <c r="G30" s="297" t="str">
        <f ca="1">IF(OR(AB$8=0,L30="b"),"",IF(L30="l",0,"("&amp;FIXED(-F30,K31,0)&amp;M30))</f>
        <v/>
      </c>
      <c r="H30" s="183"/>
      <c r="I30" s="185"/>
      <c r="L30" t="str">
        <f t="shared" ref="L30:L37" ca="1" si="3">CELL("type",F30)</f>
        <v>b</v>
      </c>
      <c r="M30" t="str">
        <f>")"&amp;REPT(" ",2-K31)&amp;IF(K31=0," ","")</f>
        <v xml:space="preserve">)   </v>
      </c>
      <c r="O30" s="194"/>
      <c r="P30" s="207">
        <f>D30</f>
        <v>0</v>
      </c>
      <c r="Q30" s="207" t="str">
        <f t="shared" ref="Q30:Q37" si="4">E30</f>
        <v>NTT回線FOMA網,ﾒｰﾙ通報</v>
      </c>
      <c r="R30" s="300" t="str">
        <f t="shared" ref="R30:R37" ca="1" si="5">G30</f>
        <v/>
      </c>
      <c r="S30" s="304"/>
      <c r="T30" s="144"/>
      <c r="U30" s="206">
        <f ca="1">IF(OR(AB$8=0,SUM(Y31:AB31)=0),1,IF(L30="l","",SUM(AA31:AB31)))</f>
        <v>1</v>
      </c>
      <c r="V30" s="375"/>
      <c r="W30" s="442"/>
    </row>
    <row r="31" spans="3:28" ht="15" customHeight="1" x14ac:dyDescent="0.15">
      <c r="C31" s="186"/>
      <c r="D31" s="509" t="s">
        <v>634</v>
      </c>
      <c r="E31" s="490" t="s">
        <v>639</v>
      </c>
      <c r="F31" s="226">
        <v>1</v>
      </c>
      <c r="G31" s="296" t="str">
        <f ca="1">IF(L31="b","",IF(L31="l",0,FIXED(F31,K31,0)&amp;M31))</f>
        <v xml:space="preserve">1    </v>
      </c>
      <c r="H31" s="187" t="s">
        <v>472</v>
      </c>
      <c r="I31" s="189"/>
      <c r="K31" s="215"/>
      <c r="L31" t="str">
        <f t="shared" ca="1" si="3"/>
        <v>v</v>
      </c>
      <c r="M31" t="str">
        <f>REPT(" ",3-K31)&amp;IF(K31=0," ","")</f>
        <v xml:space="preserve">    </v>
      </c>
      <c r="O31" s="194"/>
      <c r="P31" s="208" t="str">
        <f>IF(ISNUMBER(D31),LOOKUP(D31,$AA$5:$AB$7),D31)</f>
        <v>非常通報装置</v>
      </c>
      <c r="Q31" s="208" t="str">
        <f t="shared" si="4"/>
        <v>接点32点,ｱﾅﾛｸﾞ8点</v>
      </c>
      <c r="R31" s="301" t="str">
        <f t="shared" ca="1" si="5"/>
        <v xml:space="preserve">1    </v>
      </c>
      <c r="S31" s="305" t="str">
        <f>H31</f>
        <v>基</v>
      </c>
      <c r="T31" s="519">
        <v>2430000</v>
      </c>
      <c r="U31" s="216">
        <f ca="1">IF(L31="l","",IF(D31+F31&gt;0,SUM(Y31:Z31),-1))</f>
        <v>2430000</v>
      </c>
      <c r="V31" s="518" t="s">
        <v>641</v>
      </c>
      <c r="W31" s="444"/>
      <c r="Y31" s="114">
        <f>IF(D31&gt;0,0,TRUNC(F31*T31))</f>
        <v>2430000</v>
      </c>
      <c r="Z31" t="b">
        <f>IF($D31=1,SUM(Y$13:Y29)-SUM(Z$13:Z29),IF($D31=2,$Z$6,IF($D31=3,TRUNC($Z$6,-3))))</f>
        <v>0</v>
      </c>
      <c r="AA31">
        <f ca="1">IF(OR(AB$8=0,L30="l",D31&gt;0,U31=-1),0,IF(L30="b",-U31,TRUNC(F30*T31)))</f>
        <v>0</v>
      </c>
      <c r="AB31" t="b">
        <f>IF($D31=1,SUM(AA$13:AA29)-SUM(AB$13:AB29),IF($D31=2,$Z$5,IF($D31=3,TRUNC($Z$5,-3))))</f>
        <v>0</v>
      </c>
    </row>
    <row r="32" spans="3:28" ht="15" customHeight="1" x14ac:dyDescent="0.15">
      <c r="C32" s="182"/>
      <c r="D32" s="210"/>
      <c r="E32" s="184" t="s">
        <v>431</v>
      </c>
      <c r="F32" s="225"/>
      <c r="G32" s="297" t="str">
        <f ca="1">IF(OR(AB$8=0,L32="b"),"",IF(L32="l",0,"("&amp;FIXED(-F32,K33,0)&amp;M32))</f>
        <v/>
      </c>
      <c r="H32" s="183"/>
      <c r="I32" s="185"/>
      <c r="L32" t="str">
        <f t="shared" ca="1" si="3"/>
        <v>b</v>
      </c>
      <c r="M32" t="str">
        <f>")"&amp;REPT(" ",2-K33)&amp;IF(K33=0," ","")</f>
        <v xml:space="preserve">)   </v>
      </c>
      <c r="O32" s="194"/>
      <c r="P32" s="207">
        <f>D32</f>
        <v>0</v>
      </c>
      <c r="Q32" s="207" t="str">
        <f t="shared" si="4"/>
        <v>屋内壁掛型　鋼板製</v>
      </c>
      <c r="R32" s="300" t="str">
        <f t="shared" ca="1" si="5"/>
        <v/>
      </c>
      <c r="S32" s="304"/>
      <c r="T32" s="144"/>
      <c r="U32" s="206">
        <f ca="1">IF(OR(AB$8=0,SUM(Y33:AB33)=0),1,IF(L32="l","",SUM(AA33:AB33)))</f>
        <v>1</v>
      </c>
      <c r="V32" s="375"/>
      <c r="W32" s="448"/>
    </row>
    <row r="33" spans="3:28" ht="15" customHeight="1" x14ac:dyDescent="0.15">
      <c r="C33" s="186"/>
      <c r="D33" s="205" t="s">
        <v>467</v>
      </c>
      <c r="E33" s="188" t="s">
        <v>708</v>
      </c>
      <c r="F33" s="226">
        <v>1</v>
      </c>
      <c r="G33" s="296" t="str">
        <f ca="1">IF(L33="b","",IF(L33="l",0,FIXED(F33,K33,0)&amp;M33))</f>
        <v xml:space="preserve">1    </v>
      </c>
      <c r="H33" s="187" t="s">
        <v>468</v>
      </c>
      <c r="I33" s="189"/>
      <c r="K33" s="215"/>
      <c r="L33" t="str">
        <f t="shared" ca="1" si="3"/>
        <v>v</v>
      </c>
      <c r="M33" t="str">
        <f>REPT(" ",3-K33)&amp;IF(K33=0," ","")</f>
        <v xml:space="preserve">    </v>
      </c>
      <c r="O33" s="194"/>
      <c r="P33" s="208" t="str">
        <f>IF(ISNUMBER(D33),LOOKUP(D33,$AA$5:$AB$7),D33)</f>
        <v>電 話 端 子 盤</v>
      </c>
      <c r="Q33" s="208" t="str">
        <f t="shared" si="4"/>
        <v>W350×D150×H400㎜ 10P</v>
      </c>
      <c r="R33" s="301" t="str">
        <f t="shared" ca="1" si="5"/>
        <v xml:space="preserve">1    </v>
      </c>
      <c r="S33" s="305" t="str">
        <f>H33</f>
        <v>面</v>
      </c>
      <c r="T33" s="471">
        <v>8910</v>
      </c>
      <c r="U33" s="216">
        <f ca="1">IF(L33="l","",IF(D33+F33&gt;0,SUM(Y33:Z33),-1))</f>
        <v>8910</v>
      </c>
      <c r="V33" s="542">
        <v>235</v>
      </c>
      <c r="W33" s="447"/>
      <c r="Y33" s="114">
        <f>IF(D33&gt;0,0,TRUNC(F33*T33))</f>
        <v>8910</v>
      </c>
      <c r="Z33" t="b">
        <f>IF($D33=1,SUM(Y$13:Y31)-SUM(Z$13:Z31),IF($D33=2,$Z$6,IF($D33=3,TRUNC($Z$6,-3))))</f>
        <v>0</v>
      </c>
      <c r="AA33">
        <f ca="1">IF(OR(AB$8=0,L32="l",D33&gt;0,U33=-1),0,IF(L32="b",-U33,TRUNC(F32*T33)))</f>
        <v>0</v>
      </c>
      <c r="AB33" t="b">
        <f>IF($D33=1,SUM(AA$13:AA31)-SUM(AB$13:AB31),IF($D33=2,$Z$5,IF($D33=3,TRUNC($Z$5,-3))))</f>
        <v>0</v>
      </c>
    </row>
    <row r="34" spans="3:28" ht="15" customHeight="1" x14ac:dyDescent="0.15">
      <c r="C34" s="182"/>
      <c r="D34" s="210"/>
      <c r="E34" s="184" t="s">
        <v>431</v>
      </c>
      <c r="F34" s="225"/>
      <c r="G34" s="297" t="str">
        <f ca="1">IF(OR(AB$8=0,L34="b"),"",IF(L34="l",0,"("&amp;FIXED(-F34,K35,0)&amp;M34))</f>
        <v/>
      </c>
      <c r="H34" s="183"/>
      <c r="I34" s="185"/>
      <c r="L34" t="str">
        <f t="shared" ca="1" si="3"/>
        <v>b</v>
      </c>
      <c r="M34" t="str">
        <f>")"&amp;REPT(" ",2-K35)&amp;IF(K35=0," ","")</f>
        <v xml:space="preserve">)   </v>
      </c>
      <c r="O34" s="194"/>
      <c r="P34" s="207">
        <f>D34</f>
        <v>0</v>
      </c>
      <c r="Q34" s="207" t="str">
        <f t="shared" si="4"/>
        <v>屋内壁掛型　鋼板製</v>
      </c>
      <c r="R34" s="300" t="str">
        <f t="shared" ca="1" si="5"/>
        <v/>
      </c>
      <c r="S34" s="304"/>
      <c r="T34" s="144"/>
      <c r="U34" s="206">
        <f ca="1">IF(OR(AB$8=0,SUM(Y35:AB35)=0),1,IF(L34="l","",SUM(AA35:AB35)))</f>
        <v>1</v>
      </c>
      <c r="V34" s="375"/>
      <c r="W34" s="442"/>
    </row>
    <row r="35" spans="3:28" ht="15" customHeight="1" x14ac:dyDescent="0.15">
      <c r="C35" s="186"/>
      <c r="D35" s="205" t="s">
        <v>39</v>
      </c>
      <c r="E35" s="188" t="s">
        <v>668</v>
      </c>
      <c r="F35" s="226">
        <v>1</v>
      </c>
      <c r="G35" s="296" t="str">
        <f ca="1">IF(L35="b","",IF(L35="l",0,FIXED(F35,K35,0)&amp;M35))</f>
        <v xml:space="preserve">1    </v>
      </c>
      <c r="H35" s="187" t="s">
        <v>468</v>
      </c>
      <c r="I35" s="189"/>
      <c r="K35" s="215"/>
      <c r="L35" t="str">
        <f t="shared" ca="1" si="3"/>
        <v>v</v>
      </c>
      <c r="M35" t="str">
        <f>REPT(" ",3-K35)&amp;IF(K35=0," ","")</f>
        <v xml:space="preserve">    </v>
      </c>
      <c r="O35" s="194"/>
      <c r="P35" s="208" t="str">
        <f>IF(ISNUMBER(D35),LOOKUP(D35,$AA$5:$AB$7),D35)</f>
        <v>電 灯 分 電 盤</v>
      </c>
      <c r="Q35" s="208" t="str">
        <f t="shared" si="4"/>
        <v>W500×D160×H600㎜</v>
      </c>
      <c r="R35" s="301" t="str">
        <f t="shared" ca="1" si="5"/>
        <v xml:space="preserve">1    </v>
      </c>
      <c r="S35" s="305" t="str">
        <f>H35</f>
        <v>面</v>
      </c>
      <c r="T35" s="471">
        <v>199000</v>
      </c>
      <c r="U35" s="216">
        <f ca="1">IF(L35="l","",IF(D35+F35&gt;0,SUM(Y35:Z35),-1))</f>
        <v>199000</v>
      </c>
      <c r="V35" s="491" t="s">
        <v>669</v>
      </c>
      <c r="W35" s="443"/>
      <c r="Y35" s="114">
        <f>IF(D35&gt;0,0,TRUNC(F35*T35))</f>
        <v>199000</v>
      </c>
      <c r="Z35" t="b">
        <f>IF($D35=1,SUM(Y$13:Y33)-SUM(Z$13:Z33),IF($D35=2,$Z$6,IF($D35=3,TRUNC($Z$6,-3))))</f>
        <v>0</v>
      </c>
      <c r="AA35">
        <f ca="1">IF(OR(AB$8=0,L34="l",D35&gt;0,U35=-1),0,IF(L34="b",-U35,TRUNC(F34*T35)))</f>
        <v>0</v>
      </c>
      <c r="AB35" t="b">
        <f>IF($D35=1,SUM(AA$13:AA33)-SUM(AB$13:AB33),IF($D35=2,$Z$5,IF($D35=3,TRUNC($Z$5,-3))))</f>
        <v>0</v>
      </c>
    </row>
    <row r="36" spans="3:28" ht="15" customHeight="1" x14ac:dyDescent="0.15">
      <c r="C36" s="182"/>
      <c r="D36" s="210"/>
      <c r="E36" s="184"/>
      <c r="F36" s="225"/>
      <c r="G36" s="297" t="str">
        <f ca="1">IF(OR(AB$8=0,L36="b"),"",IF(L36="l",0,"("&amp;FIXED(-F36,K37,0)&amp;M36))</f>
        <v/>
      </c>
      <c r="H36" s="183"/>
      <c r="I36" s="185"/>
      <c r="L36" t="str">
        <f t="shared" ca="1" si="3"/>
        <v>b</v>
      </c>
      <c r="M36" t="str">
        <f>")"&amp;REPT(" ",2-K37)&amp;IF(K37=0," ","")</f>
        <v xml:space="preserve">)   </v>
      </c>
      <c r="O36" s="194"/>
      <c r="P36" s="207">
        <f>D36</f>
        <v>0</v>
      </c>
      <c r="Q36" s="207">
        <f t="shared" si="4"/>
        <v>0</v>
      </c>
      <c r="R36" s="300" t="str">
        <f t="shared" ca="1" si="5"/>
        <v/>
      </c>
      <c r="S36" s="304"/>
      <c r="T36" s="144"/>
      <c r="U36" s="206">
        <f ca="1">IF(OR(AB$8=0,SUM(Y37:AB37)=0),1,IF(L36="l","",SUM(AA37:AB37)))</f>
        <v>1</v>
      </c>
      <c r="V36" s="514"/>
      <c r="W36" s="442"/>
    </row>
    <row r="37" spans="3:28" ht="15" customHeight="1" x14ac:dyDescent="0.15">
      <c r="C37" s="186"/>
      <c r="D37" s="205"/>
      <c r="E37" s="188"/>
      <c r="F37" s="226"/>
      <c r="G37" s="296" t="str">
        <f ca="1">IF(L37="b","",IF(L37="l",0,FIXED(F37,K37,0)&amp;M37))</f>
        <v/>
      </c>
      <c r="H37" s="187"/>
      <c r="I37" s="189"/>
      <c r="K37" s="215"/>
      <c r="L37" t="str">
        <f t="shared" ca="1" si="3"/>
        <v>b</v>
      </c>
      <c r="M37" t="str">
        <f>REPT(" ",3-K37)&amp;IF(K37=0," ","")</f>
        <v xml:space="preserve">    </v>
      </c>
      <c r="O37" s="194"/>
      <c r="P37" s="208">
        <f>IF(ISNUMBER(D37),LOOKUP(D37,$AA$5:$AB$7),D37)</f>
        <v>0</v>
      </c>
      <c r="Q37" s="208">
        <f t="shared" si="4"/>
        <v>0</v>
      </c>
      <c r="R37" s="301" t="str">
        <f t="shared" ca="1" si="5"/>
        <v/>
      </c>
      <c r="S37" s="305">
        <f>H37</f>
        <v>0</v>
      </c>
      <c r="T37" s="510"/>
      <c r="U37" s="216">
        <f ca="1">IF(L37="l","",IF(D37+F37&gt;0,SUM(Y37:Z37),-1))</f>
        <v>-1</v>
      </c>
      <c r="V37" s="511"/>
      <c r="W37" s="443"/>
      <c r="Y37" s="114">
        <f>IF(D37&gt;0,0,TRUNC(F37*T37))</f>
        <v>0</v>
      </c>
      <c r="Z37" t="b">
        <f>IF($D37=1,SUM(Y$13:Y35)-SUM(Z$13:Z35),IF($D37=2,$Z$6,IF($D37=3,TRUNC($Z$6,-3))))</f>
        <v>0</v>
      </c>
      <c r="AA37">
        <f ca="1">IF(OR(AB$8=0,L36="l",D37&gt;0,U37=-1),0,IF(L36="b",-U37,TRUNC(F36*T37)))</f>
        <v>0</v>
      </c>
      <c r="AB37" t="b">
        <f>IF($D37=1,SUM(AA$13:AA35)-SUM(AB$13:AB35),IF($D37=2,$Z$5,IF($D37=3,TRUNC($Z$5,-3))))</f>
        <v>0</v>
      </c>
    </row>
    <row r="38" spans="3:28" ht="15" customHeight="1" x14ac:dyDescent="0.15">
      <c r="C38" s="182"/>
      <c r="D38" s="210"/>
      <c r="E38" s="184"/>
      <c r="F38" s="225"/>
      <c r="G38" s="297" t="str">
        <f ca="1">IF(OR(AB$8=0,L38="b"),"",IF(L38="l",0,"("&amp;FIXED(-F38,K39,0)&amp;M38))</f>
        <v/>
      </c>
      <c r="H38" s="183"/>
      <c r="I38" s="185"/>
      <c r="L38" t="str">
        <f t="shared" ca="1" si="0"/>
        <v>b</v>
      </c>
      <c r="M38" t="str">
        <f>")"&amp;REPT(" ",2-K39)&amp;IF(K39=0," ","")</f>
        <v xml:space="preserve">)   </v>
      </c>
      <c r="O38" s="194"/>
      <c r="P38" s="207">
        <f>D38</f>
        <v>0</v>
      </c>
      <c r="Q38" s="207">
        <f t="shared" si="2"/>
        <v>0</v>
      </c>
      <c r="R38" s="300" t="str">
        <f t="shared" ca="1" si="1"/>
        <v/>
      </c>
      <c r="S38" s="304"/>
      <c r="T38" s="144"/>
      <c r="U38" s="206">
        <f ca="1">IF(OR(AB$8=0,SUM(Y39:AB39)=0),1,IF(L38="l","",SUM(AA39:AB39)))</f>
        <v>1</v>
      </c>
      <c r="V38" s="514"/>
      <c r="W38" s="442"/>
    </row>
    <row r="39" spans="3:28" ht="15" customHeight="1" x14ac:dyDescent="0.15">
      <c r="C39" s="186"/>
      <c r="D39" s="205"/>
      <c r="E39" s="188"/>
      <c r="F39" s="226"/>
      <c r="G39" s="296" t="str">
        <f ca="1">IF(L39="b","",IF(L39="l",0,FIXED(F39,K39,0)&amp;M39))</f>
        <v/>
      </c>
      <c r="H39" s="187"/>
      <c r="I39" s="189"/>
      <c r="K39" s="215"/>
      <c r="L39" t="str">
        <f t="shared" ca="1" si="0"/>
        <v>b</v>
      </c>
      <c r="M39" t="str">
        <f>REPT(" ",3-K39)&amp;IF(K39=0," ","")</f>
        <v xml:space="preserve">    </v>
      </c>
      <c r="O39" s="194"/>
      <c r="P39" s="208">
        <f>IF(ISNUMBER(D39),LOOKUP(D39,$AA$5:$AB$7),D39)</f>
        <v>0</v>
      </c>
      <c r="Q39" s="208">
        <f t="shared" si="2"/>
        <v>0</v>
      </c>
      <c r="R39" s="301" t="str">
        <f t="shared" ca="1" si="1"/>
        <v/>
      </c>
      <c r="S39" s="305">
        <f>H39</f>
        <v>0</v>
      </c>
      <c r="T39" s="510"/>
      <c r="U39" s="216">
        <f ca="1">IF(L39="l","",IF(D39+F39&gt;0,SUM(Y39:Z39),-1))</f>
        <v>-1</v>
      </c>
      <c r="V39" s="511"/>
      <c r="W39" s="443"/>
      <c r="Y39" s="114">
        <f>IF(D39&gt;0,0,TRUNC(F39*T39))</f>
        <v>0</v>
      </c>
      <c r="Z39" t="b">
        <f>IF($D39=1,SUM(Y$13:Y37)-SUM(Z$13:Z37),IF($D39=2,$Z$6,IF($D39=3,TRUNC($Z$6,-3))))</f>
        <v>0</v>
      </c>
      <c r="AA39">
        <f ca="1">IF(OR(AB$8=0,L38="l",D39&gt;0,U39=-1),0,IF(L38="b",-U39,TRUNC(F38*T39)))</f>
        <v>0</v>
      </c>
      <c r="AB39" t="b">
        <f>IF($D39=1,SUM(AA$13:AA37)-SUM(AB$13:AB37),IF($D39=2,$Z$5,IF($D39=3,TRUNC($Z$5,-3))))</f>
        <v>0</v>
      </c>
    </row>
    <row r="40" spans="3:28" ht="15" customHeight="1" x14ac:dyDescent="0.15">
      <c r="C40" s="182"/>
      <c r="D40" s="210"/>
      <c r="E40" s="184"/>
      <c r="F40" s="225"/>
      <c r="G40" s="297" t="str">
        <f ca="1">IF(OR(AB$8=0,L40="b"),"",IF(L40="l",0,"("&amp;FIXED(-F40,K41,0)&amp;M40))</f>
        <v/>
      </c>
      <c r="H40" s="183"/>
      <c r="I40" s="185"/>
      <c r="L40" t="str">
        <f t="shared" ca="1" si="0"/>
        <v>b</v>
      </c>
      <c r="M40" t="str">
        <f>")"&amp;REPT(" ",2-K41)&amp;IF(K41=0," ","")</f>
        <v xml:space="preserve">)   </v>
      </c>
      <c r="O40" s="194"/>
      <c r="P40" s="207">
        <f>D40</f>
        <v>0</v>
      </c>
      <c r="Q40" s="207">
        <f t="shared" si="2"/>
        <v>0</v>
      </c>
      <c r="R40" s="300" t="str">
        <f t="shared" ca="1" si="1"/>
        <v/>
      </c>
      <c r="S40" s="304"/>
      <c r="T40" s="512"/>
      <c r="U40" s="206">
        <f ca="1">IF(OR(AB$8=0,SUM(Y41:AB41)=0),1,IF(L40="l","",SUM(AA41:AB41)))</f>
        <v>1</v>
      </c>
      <c r="V40" s="514"/>
      <c r="W40" s="442"/>
    </row>
    <row r="41" spans="3:28" ht="15" customHeight="1" x14ac:dyDescent="0.15">
      <c r="C41" s="186"/>
      <c r="D41" s="205"/>
      <c r="E41" s="188"/>
      <c r="F41" s="226"/>
      <c r="G41" s="296" t="str">
        <f ca="1">IF(L41="b","",IF(L41="l",0,FIXED(F41,K41,0)&amp;M41))</f>
        <v/>
      </c>
      <c r="H41" s="187"/>
      <c r="I41" s="189"/>
      <c r="K41" s="215"/>
      <c r="L41" t="str">
        <f t="shared" ca="1" si="0"/>
        <v>b</v>
      </c>
      <c r="M41" t="str">
        <f>REPT(" ",3-K41)&amp;IF(K41=0," ","")</f>
        <v xml:space="preserve">    </v>
      </c>
      <c r="O41" s="194"/>
      <c r="P41" s="208">
        <f>IF(ISNUMBER(D41),LOOKUP(D41,$AA$5:$AB$7),D41)</f>
        <v>0</v>
      </c>
      <c r="Q41" s="208">
        <f t="shared" si="2"/>
        <v>0</v>
      </c>
      <c r="R41" s="301" t="str">
        <f t="shared" ca="1" si="1"/>
        <v/>
      </c>
      <c r="S41" s="305">
        <f>H41</f>
        <v>0</v>
      </c>
      <c r="T41" s="510"/>
      <c r="U41" s="216">
        <f ca="1">IF(L41="l","",IF(D41+F41&gt;0,SUM(Y41:Z41),-1))</f>
        <v>-1</v>
      </c>
      <c r="V41" s="511"/>
      <c r="W41" s="443"/>
      <c r="Y41" s="114">
        <f>IF(D41&gt;0,0,TRUNC(F41*T41))</f>
        <v>0</v>
      </c>
      <c r="Z41" t="b">
        <f>IF($D41=1,SUM(Y$13:Y39)-SUM(Z$13:Z39),IF($D41=2,$Z$6,IF($D41=3,TRUNC($Z$6,-3))))</f>
        <v>0</v>
      </c>
      <c r="AA41">
        <f ca="1">IF(OR(AB$8=0,L40="l",D41&gt;0,U41=-1),0,IF(L40="b",-U41,TRUNC(F40*T41)))</f>
        <v>0</v>
      </c>
      <c r="AB41" t="b">
        <f>IF($D41=1,SUM(AA$13:AA39)-SUM(AB$13:AB39),IF($D41=2,$Z$5,IF($D41=3,TRUNC($Z$5,-3))))</f>
        <v>0</v>
      </c>
    </row>
    <row r="42" spans="3:28" ht="15" customHeight="1" x14ac:dyDescent="0.15">
      <c r="C42" s="182"/>
      <c r="D42" s="210"/>
      <c r="E42" s="184"/>
      <c r="F42" s="225"/>
      <c r="G42" s="297" t="str">
        <f ca="1">IF(OR(AB$8=0,L42="b"),"",IF(L42="l",0,"("&amp;FIXED(-F42,K43,0)&amp;M42))</f>
        <v/>
      </c>
      <c r="H42" s="183"/>
      <c r="I42" s="185"/>
      <c r="L42" t="str">
        <f t="shared" ca="1" si="0"/>
        <v>b</v>
      </c>
      <c r="M42" t="str">
        <f>")"&amp;REPT(" ",2-K43)&amp;IF(K43=0," ","")</f>
        <v xml:space="preserve">)   </v>
      </c>
      <c r="O42" s="194"/>
      <c r="P42" s="207">
        <f>D42</f>
        <v>0</v>
      </c>
      <c r="Q42" s="207">
        <f t="shared" si="2"/>
        <v>0</v>
      </c>
      <c r="R42" s="300" t="str">
        <f t="shared" ca="1" si="1"/>
        <v/>
      </c>
      <c r="S42" s="304"/>
      <c r="T42" s="512"/>
      <c r="U42" s="206">
        <f ca="1">IF(OR(AB$8=0,SUM(Y43:AB43)=0),1,IF(L42="l","",SUM(AA43:AB43)))</f>
        <v>1</v>
      </c>
      <c r="V42" s="514"/>
      <c r="W42" s="442"/>
    </row>
    <row r="43" spans="3:28" ht="15" customHeight="1" x14ac:dyDescent="0.15">
      <c r="C43" s="186"/>
      <c r="D43" s="205"/>
      <c r="E43" s="188"/>
      <c r="F43" s="226"/>
      <c r="G43" s="296" t="str">
        <f ca="1">IF(L43="b","",IF(L43="l",0,FIXED(F43,K43,0)&amp;M43))</f>
        <v/>
      </c>
      <c r="H43" s="187"/>
      <c r="I43" s="189"/>
      <c r="K43" s="215"/>
      <c r="L43" t="str">
        <f t="shared" ca="1" si="0"/>
        <v>b</v>
      </c>
      <c r="M43" t="str">
        <f>REPT(" ",3-K43)&amp;IF(K43=0," ","")</f>
        <v xml:space="preserve">    </v>
      </c>
      <c r="O43" s="194"/>
      <c r="P43" s="208">
        <f>IF(ISNUMBER(D43),LOOKUP(D43,$AA$5:$AB$7),D43)</f>
        <v>0</v>
      </c>
      <c r="Q43" s="208">
        <f t="shared" si="2"/>
        <v>0</v>
      </c>
      <c r="R43" s="301" t="str">
        <f t="shared" ca="1" si="1"/>
        <v/>
      </c>
      <c r="S43" s="305">
        <f>H43</f>
        <v>0</v>
      </c>
      <c r="T43" s="513"/>
      <c r="U43" s="216">
        <f ca="1">IF(L43="l","",IF(D43+F43&gt;0,SUM(Y43:Z43),-1))</f>
        <v>-1</v>
      </c>
      <c r="V43" s="515"/>
      <c r="W43" s="444"/>
      <c r="Y43" s="114">
        <f>IF(D43&gt;0,0,TRUNC(F43*T43))</f>
        <v>0</v>
      </c>
      <c r="Z43" t="b">
        <f>IF($D43=1,SUM(Y$13:Y41)-SUM(Z$13:Z41),IF($D43=2,$Z$6,IF($D43=3,TRUNC($Z$6,-3))))</f>
        <v>0</v>
      </c>
      <c r="AA43">
        <f ca="1">IF(OR(AB$8=0,L42="l",D43&gt;0,U43=-1),0,IF(L42="b",-U43,TRUNC(F42*T43)))</f>
        <v>0</v>
      </c>
      <c r="AB43" t="b">
        <f>IF($D43=1,SUM(AA$13:AA41)-SUM(AB$13:AB41),IF($D43=2,$Z$5,IF($D43=3,TRUNC($Z$5,-3))))</f>
        <v>0</v>
      </c>
    </row>
    <row r="44" spans="3:28" ht="15" customHeight="1" x14ac:dyDescent="0.15">
      <c r="C44" s="182"/>
      <c r="D44" s="505"/>
      <c r="E44" s="506"/>
      <c r="F44" s="225"/>
      <c r="G44" s="297" t="str">
        <f ca="1">IF(OR(AB$8=0,L44="b"),"",IF(L44="l",0,"("&amp;FIXED(-F44,K45,0)&amp;M44))</f>
        <v/>
      </c>
      <c r="H44" s="183"/>
      <c r="I44" s="185"/>
      <c r="L44" t="str">
        <f t="shared" ca="1" si="0"/>
        <v>b</v>
      </c>
      <c r="M44" t="str">
        <f>")"&amp;REPT(" ",2-K45)&amp;IF(K45=0," ","")</f>
        <v xml:space="preserve">)   </v>
      </c>
      <c r="O44" s="194"/>
      <c r="P44" s="207">
        <f>D44</f>
        <v>0</v>
      </c>
      <c r="Q44" s="207">
        <f t="shared" si="2"/>
        <v>0</v>
      </c>
      <c r="R44" s="300" t="str">
        <f t="shared" ca="1" si="1"/>
        <v/>
      </c>
      <c r="S44" s="304"/>
      <c r="T44" s="512"/>
      <c r="U44" s="206">
        <f ca="1">IF(OR(AB$8=0,SUM(Y45:AB45)=0),1,IF(L44="l","",SUM(AA45:AB45)))</f>
        <v>1</v>
      </c>
      <c r="V44" s="514"/>
      <c r="W44" s="442"/>
    </row>
    <row r="45" spans="3:28" ht="15" customHeight="1" x14ac:dyDescent="0.15">
      <c r="C45" s="186"/>
      <c r="D45" s="507"/>
      <c r="E45" s="508"/>
      <c r="F45" s="226"/>
      <c r="G45" s="296" t="str">
        <f ca="1">IF(L45="b","",IF(L45="l",0,FIXED(F45,K45,0)&amp;M45))</f>
        <v/>
      </c>
      <c r="H45" s="187"/>
      <c r="I45" s="189"/>
      <c r="K45" s="215"/>
      <c r="L45" t="str">
        <f t="shared" ca="1" si="0"/>
        <v>b</v>
      </c>
      <c r="M45" t="str">
        <f>REPT(" ",3-K45)&amp;IF(K45=0," ","")</f>
        <v xml:space="preserve">    </v>
      </c>
      <c r="O45" s="194"/>
      <c r="P45" s="208">
        <f>IF(ISNUMBER(D45),LOOKUP(D45,$AA$5:$AB$7),D45)</f>
        <v>0</v>
      </c>
      <c r="Q45" s="208">
        <f t="shared" si="2"/>
        <v>0</v>
      </c>
      <c r="R45" s="301" t="str">
        <f t="shared" ca="1" si="1"/>
        <v/>
      </c>
      <c r="S45" s="305">
        <f>H45</f>
        <v>0</v>
      </c>
      <c r="T45" s="510"/>
      <c r="U45" s="216">
        <f ca="1">IF(L45="l","",IF(D45+F45&gt;0,SUM(Y45:Z45),-1))</f>
        <v>-1</v>
      </c>
      <c r="V45" s="515"/>
      <c r="W45" s="444"/>
      <c r="Y45" s="114">
        <f>IF(D45&gt;0,0,TRUNC(F45*T45))</f>
        <v>0</v>
      </c>
      <c r="Z45" t="b">
        <f>IF($D45=1,SUM(Y$13:Y43)-SUM(Z$13:Z43),IF($D45=2,$Z$6,IF($D45=3,TRUNC($Z$6,-3))))</f>
        <v>0</v>
      </c>
      <c r="AA45">
        <f ca="1">IF(OR(AB$8=0,L44="l",D45&gt;0,U45=-1),0,IF(L44="b",-U45,TRUNC(F44*T45)))</f>
        <v>0</v>
      </c>
      <c r="AB45" t="b">
        <f>IF($D45=1,SUM(AA$13:AA43)-SUM(AB$13:AB43),IF($D45=2,$Z$5,IF($D45=3,TRUNC($Z$5,-3))))</f>
        <v>0</v>
      </c>
    </row>
    <row r="46" spans="3:28" ht="15" customHeight="1" x14ac:dyDescent="0.15">
      <c r="C46" s="182"/>
      <c r="D46" s="210"/>
      <c r="E46" s="184"/>
      <c r="F46" s="225"/>
      <c r="G46" s="297" t="str">
        <f ca="1">IF(OR(AB$8=0,L46="b"),"",IF(L46="l",0,"("&amp;FIXED(-F46,K47,0)&amp;M46))</f>
        <v/>
      </c>
      <c r="H46" s="183"/>
      <c r="I46" s="185"/>
      <c r="L46" t="str">
        <f t="shared" ca="1" si="0"/>
        <v>b</v>
      </c>
      <c r="M46" t="str">
        <f>")"&amp;REPT(" ",2-K47)&amp;IF(K47=0," ","")</f>
        <v xml:space="preserve">)   </v>
      </c>
      <c r="O46" s="194"/>
      <c r="P46" s="207">
        <f>D46</f>
        <v>0</v>
      </c>
      <c r="Q46" s="207">
        <f t="shared" si="2"/>
        <v>0</v>
      </c>
      <c r="R46" s="300" t="str">
        <f t="shared" ca="1" si="1"/>
        <v/>
      </c>
      <c r="S46" s="304"/>
      <c r="T46" s="144"/>
      <c r="U46" s="206">
        <f ca="1">IF(OR(AB$8=0,SUM(Y47:AB47)=0),1,IF(L46="l","",SUM(AA47:AB47)))</f>
        <v>1</v>
      </c>
      <c r="V46" s="375"/>
      <c r="W46" s="442"/>
    </row>
    <row r="47" spans="3:28" ht="15" customHeight="1" x14ac:dyDescent="0.15">
      <c r="C47" s="186"/>
      <c r="D47" s="205"/>
      <c r="E47" s="188"/>
      <c r="F47" s="226"/>
      <c r="G47" s="296" t="str">
        <f ca="1">IF(L47="b","",IF(L47="l",0,FIXED(F47,K47,0)&amp;M47))</f>
        <v/>
      </c>
      <c r="H47" s="187"/>
      <c r="I47" s="189"/>
      <c r="K47" s="215"/>
      <c r="L47" t="str">
        <f t="shared" ca="1" si="0"/>
        <v>b</v>
      </c>
      <c r="M47" t="str">
        <f>REPT(" ",3-K47)&amp;IF(K47=0," ","")</f>
        <v xml:space="preserve">    </v>
      </c>
      <c r="O47" s="194"/>
      <c r="P47" s="208">
        <f>IF(ISNUMBER(D47),LOOKUP(D47,$AA$5:$AB$7),D47)</f>
        <v>0</v>
      </c>
      <c r="Q47" s="208">
        <f t="shared" si="2"/>
        <v>0</v>
      </c>
      <c r="R47" s="301" t="str">
        <f t="shared" ca="1" si="1"/>
        <v/>
      </c>
      <c r="S47" s="305">
        <f>H47</f>
        <v>0</v>
      </c>
      <c r="T47" s="145"/>
      <c r="U47" s="216">
        <f ca="1">IF(L47="l","",IF(D47+F47&gt;0,SUM(Y47:Z47),-1))</f>
        <v>-1</v>
      </c>
      <c r="V47" s="376"/>
      <c r="W47" s="443"/>
      <c r="Y47" s="114">
        <f>IF(D47&gt;0,0,TRUNC(F47*T47))</f>
        <v>0</v>
      </c>
      <c r="Z47" t="b">
        <f>IF($D47=1,SUM(Y$13:Y45)-SUM(Z$13:Z45),IF($D47=2,$Z$6,IF($D47=3,TRUNC($Z$6,-3))))</f>
        <v>0</v>
      </c>
      <c r="AA47">
        <f ca="1">IF(OR(AB$8=0,L46="l",D47&gt;0,U47=-1),0,IF(L46="b",-U47,TRUNC(F46*T47)))</f>
        <v>0</v>
      </c>
      <c r="AB47" t="b">
        <f>IF($D47=1,SUM(AA$13:AA45)-SUM(AB$13:AB45),IF($D47=2,$Z$5,IF($D47=3,TRUNC($Z$5,-3))))</f>
        <v>0</v>
      </c>
    </row>
    <row r="48" spans="3:28" ht="15" customHeight="1" x14ac:dyDescent="0.15">
      <c r="C48" s="182"/>
      <c r="D48" s="210"/>
      <c r="E48" s="184"/>
      <c r="F48" s="225"/>
      <c r="G48" s="297" t="str">
        <f ca="1">IF(OR(AB$8=0,L48="b"),"",IF(L48="l",0,"("&amp;FIXED(-F48,K49,0)&amp;M48))</f>
        <v/>
      </c>
      <c r="H48" s="183"/>
      <c r="I48" s="185"/>
      <c r="L48" t="str">
        <f t="shared" ca="1" si="0"/>
        <v>b</v>
      </c>
      <c r="M48" t="str">
        <f>")"&amp;REPT(" ",2-K49)&amp;IF(K49=0," ","")</f>
        <v xml:space="preserve">)   </v>
      </c>
      <c r="O48" s="194"/>
      <c r="P48" s="207">
        <f>D48</f>
        <v>0</v>
      </c>
      <c r="Q48" s="207">
        <f t="shared" si="2"/>
        <v>0</v>
      </c>
      <c r="R48" s="300" t="str">
        <f t="shared" ca="1" si="1"/>
        <v/>
      </c>
      <c r="S48" s="304"/>
      <c r="T48" s="144"/>
      <c r="U48" s="206">
        <f ca="1">IF(OR(AB$8=0,SUM(Y49:AB49)=0),1,IF(L48="l","",SUM(AA49:AB49)))</f>
        <v>1</v>
      </c>
      <c r="V48" s="375"/>
      <c r="W48" s="442"/>
    </row>
    <row r="49" spans="3:28" ht="15" customHeight="1" x14ac:dyDescent="0.15">
      <c r="C49" s="186"/>
      <c r="D49" s="205"/>
      <c r="E49" s="188"/>
      <c r="F49" s="226"/>
      <c r="G49" s="296" t="str">
        <f ca="1">IF(L49="b","",IF(L49="l",0,FIXED(F49,K49,0)&amp;M49))</f>
        <v/>
      </c>
      <c r="H49" s="187"/>
      <c r="I49" s="189"/>
      <c r="K49" s="215"/>
      <c r="L49" t="str">
        <f t="shared" ca="1" si="0"/>
        <v>b</v>
      </c>
      <c r="M49" t="str">
        <f>REPT(" ",3-K49)&amp;IF(K49=0," ","")</f>
        <v xml:space="preserve">    </v>
      </c>
      <c r="O49" s="194"/>
      <c r="P49" s="208">
        <f>IF(ISNUMBER(D49),LOOKUP(D49,$AA$5:$AB$7),D49)</f>
        <v>0</v>
      </c>
      <c r="Q49" s="208">
        <f t="shared" si="2"/>
        <v>0</v>
      </c>
      <c r="R49" s="301" t="str">
        <f t="shared" ca="1" si="1"/>
        <v/>
      </c>
      <c r="S49" s="305">
        <f>H49</f>
        <v>0</v>
      </c>
      <c r="T49" s="145"/>
      <c r="U49" s="216">
        <f ca="1">IF(L49="l","",IF(D49+F49&gt;0,SUM(Y49:Z49),-1))</f>
        <v>-1</v>
      </c>
      <c r="V49" s="376"/>
      <c r="W49" s="444"/>
      <c r="Y49" s="114">
        <f>IF(D49&gt;0,0,TRUNC(F49*T49))</f>
        <v>0</v>
      </c>
      <c r="Z49" t="b">
        <f>IF($D49=1,SUM(Y$13:Y47)-SUM(Z$13:Z47),IF($D49=2,$Z$6,IF($D49=3,TRUNC($Z$6,-3))))</f>
        <v>0</v>
      </c>
      <c r="AA49">
        <f ca="1">IF(OR(AB$8=0,L48="l",D49&gt;0,U49=-1),0,IF(L48="b",-U49,TRUNC(F48*T49)))</f>
        <v>0</v>
      </c>
      <c r="AB49" t="b">
        <f>IF($D49=1,SUM(AA$13:AA47)-SUM(AB$13:AB47),IF($D49=2,$Z$5,IF($D49=3,TRUNC($Z$5,-3))))</f>
        <v>0</v>
      </c>
    </row>
    <row r="50" spans="3:28" ht="15" customHeight="1" x14ac:dyDescent="0.15">
      <c r="C50" s="182"/>
      <c r="D50" s="210"/>
      <c r="E50" s="184"/>
      <c r="F50" s="225"/>
      <c r="G50" s="297" t="str">
        <f ca="1">IF(OR(AB$8=0,L50="b"),"",IF(L50="l",0,"("&amp;FIXED(-F50,K51,0)&amp;M50))</f>
        <v/>
      </c>
      <c r="H50" s="183"/>
      <c r="I50" s="185"/>
      <c r="L50" t="str">
        <f t="shared" ca="1" si="0"/>
        <v>b</v>
      </c>
      <c r="M50" t="str">
        <f>")"&amp;REPT(" ",2-K51)&amp;IF(K51=0," ","")</f>
        <v xml:space="preserve">)   </v>
      </c>
      <c r="O50" s="194"/>
      <c r="P50" s="207">
        <f>D50</f>
        <v>0</v>
      </c>
      <c r="Q50" s="207">
        <f t="shared" si="2"/>
        <v>0</v>
      </c>
      <c r="R50" s="300" t="str">
        <f t="shared" ca="1" si="1"/>
        <v/>
      </c>
      <c r="S50" s="304"/>
      <c r="T50" s="144"/>
      <c r="U50" s="206">
        <f ca="1">IF(OR(AB$8=0,SUM(Y51:AB51)=0),1,IF(L50="l","",SUM(AA51:AB51)))</f>
        <v>1</v>
      </c>
      <c r="V50" s="375"/>
      <c r="W50" s="442"/>
    </row>
    <row r="51" spans="3:28" ht="15" customHeight="1" x14ac:dyDescent="0.15">
      <c r="C51" s="186"/>
      <c r="D51" s="205"/>
      <c r="E51" s="188"/>
      <c r="F51" s="226"/>
      <c r="G51" s="296" t="str">
        <f ca="1">IF(L51="b","",IF(L51="l",0,FIXED(F51,K51,0)&amp;M51))</f>
        <v/>
      </c>
      <c r="H51" s="187"/>
      <c r="I51" s="189"/>
      <c r="K51" s="215"/>
      <c r="L51" t="str">
        <f t="shared" ca="1" si="0"/>
        <v>b</v>
      </c>
      <c r="M51" t="str">
        <f>REPT(" ",3-K51)&amp;IF(K51=0," ","")</f>
        <v xml:space="preserve">    </v>
      </c>
      <c r="O51" s="194"/>
      <c r="P51" s="208">
        <f>IF(ISNUMBER(D51),LOOKUP(D51,$AA$5:$AB$7),D51)</f>
        <v>0</v>
      </c>
      <c r="Q51" s="208">
        <f t="shared" si="2"/>
        <v>0</v>
      </c>
      <c r="R51" s="301" t="str">
        <f t="shared" ca="1" si="1"/>
        <v/>
      </c>
      <c r="S51" s="305">
        <f>H51</f>
        <v>0</v>
      </c>
      <c r="T51" s="471"/>
      <c r="U51" s="216">
        <f ca="1">IF(L51="l","",IF(D51+F51&gt;0,SUM(Y51:Z51),-1))</f>
        <v>-1</v>
      </c>
      <c r="V51" s="376"/>
      <c r="W51" s="443"/>
      <c r="Y51" s="114">
        <f>IF(D51&gt;0,0,TRUNC(F51*T51))</f>
        <v>0</v>
      </c>
      <c r="Z51" t="b">
        <f>IF($D51=1,SUM(Y$13:Y49)-SUM(Z$13:Z49),IF($D51=2,$Z$6,IF($D51=3,TRUNC($Z$6,-3))))</f>
        <v>0</v>
      </c>
      <c r="AA51">
        <f ca="1">IF(OR(AB$8=0,L50="l",D51&gt;0,U51=-1),0,IF(L50="b",-U51,TRUNC(F50*T51)))</f>
        <v>0</v>
      </c>
      <c r="AB51" t="b">
        <f>IF($D51=1,SUM(AA$13:AA49)-SUM(AB$13:AB49),IF($D51=2,$Z$5,IF($D51=3,TRUNC($Z$5,-3))))</f>
        <v>0</v>
      </c>
    </row>
    <row r="52" spans="3:28" ht="15" customHeight="1" x14ac:dyDescent="0.15">
      <c r="C52" s="182"/>
      <c r="D52" s="210"/>
      <c r="E52" s="184"/>
      <c r="F52" s="225"/>
      <c r="G52" s="297" t="str">
        <f ca="1">IF(OR(AB$8=0,L52="b"),"",IF(L52="l",0,"("&amp;FIXED(-F52,K53,0)&amp;M52))</f>
        <v/>
      </c>
      <c r="H52" s="183"/>
      <c r="I52" s="185"/>
      <c r="L52" t="str">
        <f t="shared" ca="1" si="0"/>
        <v>b</v>
      </c>
      <c r="M52" t="str">
        <f>")"&amp;REPT(" ",2-K53)&amp;IF(K53=0," ","")</f>
        <v xml:space="preserve">)   </v>
      </c>
      <c r="O52" s="194"/>
      <c r="P52" s="207">
        <f>D52</f>
        <v>0</v>
      </c>
      <c r="Q52" s="207">
        <f t="shared" si="2"/>
        <v>0</v>
      </c>
      <c r="R52" s="300" t="str">
        <f t="shared" ca="1" si="1"/>
        <v/>
      </c>
      <c r="S52" s="304"/>
      <c r="T52" s="144"/>
      <c r="U52" s="206">
        <f ca="1">IF(OR(AB$8=0,SUM(Y53:AB53)=0),1,IF(L52="l","",SUM(AA53:AB53)))</f>
        <v>1</v>
      </c>
      <c r="V52" s="375"/>
      <c r="W52" s="442"/>
    </row>
    <row r="53" spans="3:28" ht="15" customHeight="1" x14ac:dyDescent="0.15">
      <c r="C53" s="186"/>
      <c r="D53" s="205"/>
      <c r="E53" s="188"/>
      <c r="F53" s="226"/>
      <c r="G53" s="296" t="str">
        <f ca="1">IF(L53="b","",IF(L53="l",0,FIXED(F53,K53,0)&amp;M53))</f>
        <v/>
      </c>
      <c r="H53" s="187"/>
      <c r="I53" s="189"/>
      <c r="K53" s="215"/>
      <c r="L53" t="str">
        <f t="shared" ca="1" si="0"/>
        <v>b</v>
      </c>
      <c r="M53" t="str">
        <f>REPT(" ",3-K53)&amp;IF(K53=0," ","")</f>
        <v xml:space="preserve">    </v>
      </c>
      <c r="O53" s="194"/>
      <c r="P53" s="208">
        <f>IF(ISNUMBER(D53),LOOKUP(D53,$AA$5:$AB$7),D53)</f>
        <v>0</v>
      </c>
      <c r="Q53" s="208">
        <f t="shared" si="2"/>
        <v>0</v>
      </c>
      <c r="R53" s="301" t="str">
        <f t="shared" ca="1" si="1"/>
        <v/>
      </c>
      <c r="S53" s="305">
        <f>H53</f>
        <v>0</v>
      </c>
      <c r="T53" s="145"/>
      <c r="U53" s="216">
        <f ca="1">IF(L53="l","",IF(D53+F53&gt;0,SUM(Y53:Z53),-1))</f>
        <v>-1</v>
      </c>
      <c r="V53" s="376"/>
      <c r="W53" s="444"/>
      <c r="Y53" s="114">
        <f>IF(D53&gt;0,0,TRUNC(F53*T53))</f>
        <v>0</v>
      </c>
      <c r="Z53" t="b">
        <f>IF($D53=1,SUM(Y$13:Y51)-SUM(Z$13:Z51),IF($D53=2,$Z$6,IF($D53=3,TRUNC($Z$6,-3))))</f>
        <v>0</v>
      </c>
      <c r="AA53">
        <f ca="1">IF(OR(AB$8=0,L52="l",D53&gt;0,U53=-1),0,IF(L52="b",-U53,TRUNC(F52*T53)))</f>
        <v>0</v>
      </c>
      <c r="AB53" t="b">
        <f>IF($D53=1,SUM(AA$13:AA51)-SUM(AB$13:AB51),IF($D53=2,$Z$5,IF($D53=3,TRUNC($Z$5,-3))))</f>
        <v>0</v>
      </c>
    </row>
    <row r="54" spans="3:28" ht="15" customHeight="1" x14ac:dyDescent="0.15">
      <c r="C54" s="182"/>
      <c r="D54" s="210"/>
      <c r="E54" s="184"/>
      <c r="F54" s="225"/>
      <c r="G54" s="297" t="str">
        <f ca="1">IF(OR(AB$8=0,L54="b"),"",IF(L54="l",0,"("&amp;FIXED(-F54,K55,0)&amp;M54))</f>
        <v/>
      </c>
      <c r="H54" s="183"/>
      <c r="I54" s="185"/>
      <c r="L54" t="str">
        <f t="shared" ref="L54:L65" ca="1" si="6">CELL("type",F54)</f>
        <v>b</v>
      </c>
      <c r="M54" t="str">
        <f>")"&amp;REPT(" ",2-K55)&amp;IF(K55=0," ","")</f>
        <v xml:space="preserve">)   </v>
      </c>
      <c r="O54" s="194"/>
      <c r="P54" s="207">
        <f>D54</f>
        <v>0</v>
      </c>
      <c r="Q54" s="207">
        <f>E54</f>
        <v>0</v>
      </c>
      <c r="R54" s="300" t="str">
        <f t="shared" ref="R54:R65" ca="1" si="7">G54</f>
        <v/>
      </c>
      <c r="S54" s="304"/>
      <c r="T54" s="144"/>
      <c r="U54" s="206">
        <f ca="1">IF(OR(AB$8=0,SUM(Y55:AB55)=0),1,IF(L54="l","",SUM(AA55:AB55)))</f>
        <v>1</v>
      </c>
      <c r="V54" s="375"/>
      <c r="W54" s="442"/>
    </row>
    <row r="55" spans="3:28" ht="15" customHeight="1" x14ac:dyDescent="0.15">
      <c r="C55" s="186"/>
      <c r="D55" s="205"/>
      <c r="E55" s="188"/>
      <c r="F55" s="226"/>
      <c r="G55" s="296" t="str">
        <f ca="1">IF(L55="b","",IF(L55="l",0,FIXED(F55,K55,0)&amp;M55))</f>
        <v/>
      </c>
      <c r="H55" s="187"/>
      <c r="I55" s="189"/>
      <c r="K55" s="215"/>
      <c r="L55" t="str">
        <f t="shared" ca="1" si="6"/>
        <v>b</v>
      </c>
      <c r="M55" t="str">
        <f>REPT(" ",3-K55)&amp;IF(K55=0," ","")</f>
        <v xml:space="preserve">    </v>
      </c>
      <c r="O55" s="194"/>
      <c r="P55" s="208">
        <f>IF(ISNUMBER(D55),LOOKUP(D55,$AA$5:$AB$7),D55)</f>
        <v>0</v>
      </c>
      <c r="Q55" s="208">
        <f t="shared" ref="Q55:Q65" si="8">E55</f>
        <v>0</v>
      </c>
      <c r="R55" s="301" t="str">
        <f t="shared" ca="1" si="7"/>
        <v/>
      </c>
      <c r="S55" s="305">
        <f>H55</f>
        <v>0</v>
      </c>
      <c r="T55" s="145"/>
      <c r="U55" s="216">
        <f ca="1">IF(L55="l","",IF(D55+F55&gt;0,SUM(Y55:Z55),-1))</f>
        <v>-1</v>
      </c>
      <c r="V55" s="376"/>
      <c r="W55" s="443"/>
      <c r="Y55" s="114">
        <f>IF(D55&gt;0,0,TRUNC(F55*T55))</f>
        <v>0</v>
      </c>
      <c r="Z55" t="b">
        <f>IF($D55=1,SUM(Y$13:Y53)-SUM(Z$13:Z53),IF($D55=2,$Z$6,IF($D55=3,TRUNC($Z$6,-3))))</f>
        <v>0</v>
      </c>
      <c r="AA55">
        <f ca="1">IF(OR(AB$8=0,L54="l",D55&gt;0,U55=-1),0,IF(L54="b",-U55,TRUNC(F54*T55)))</f>
        <v>0</v>
      </c>
      <c r="AB55" t="b">
        <f>IF($D55=1,SUM(AA$13:AA53)-SUM(AB$13:AB53),IF($D55=2,$Z$5,IF($D55=3,TRUNC($Z$5,-3))))</f>
        <v>0</v>
      </c>
    </row>
    <row r="56" spans="3:28" ht="15" customHeight="1" x14ac:dyDescent="0.15">
      <c r="C56" s="182"/>
      <c r="D56" s="210"/>
      <c r="E56" s="184"/>
      <c r="F56" s="225"/>
      <c r="G56" s="297" t="str">
        <f ca="1">IF(OR(AB$8=0,L56="b"),"",IF(L56="l",0,"("&amp;FIXED(-F56,K57,0)&amp;M56))</f>
        <v/>
      </c>
      <c r="H56" s="183"/>
      <c r="I56" s="185"/>
      <c r="L56" t="str">
        <f t="shared" ca="1" si="6"/>
        <v>b</v>
      </c>
      <c r="M56" t="str">
        <f>")"&amp;REPT(" ",2-K57)&amp;IF(K57=0," ","")</f>
        <v xml:space="preserve">)   </v>
      </c>
      <c r="O56" s="194"/>
      <c r="P56" s="207">
        <f>D56</f>
        <v>0</v>
      </c>
      <c r="Q56" s="207">
        <f t="shared" si="8"/>
        <v>0</v>
      </c>
      <c r="R56" s="300" t="str">
        <f t="shared" ca="1" si="7"/>
        <v/>
      </c>
      <c r="S56" s="304"/>
      <c r="T56" s="144"/>
      <c r="U56" s="206">
        <f ca="1">IF(OR(AB$8=0,SUM(Y57:AB57)=0),1,IF(L56="l","",SUM(AA57:AB57)))</f>
        <v>1</v>
      </c>
      <c r="V56" s="375"/>
      <c r="W56" s="442"/>
    </row>
    <row r="57" spans="3:28" ht="15" customHeight="1" x14ac:dyDescent="0.15">
      <c r="C57" s="186"/>
      <c r="D57" s="205"/>
      <c r="E57" s="188"/>
      <c r="F57" s="226"/>
      <c r="G57" s="296" t="str">
        <f ca="1">IF(L57="b","",IF(L57="l",0,FIXED(F57,K57,0)&amp;M57))</f>
        <v/>
      </c>
      <c r="H57" s="187"/>
      <c r="I57" s="189"/>
      <c r="K57" s="215"/>
      <c r="L57" t="str">
        <f t="shared" ca="1" si="6"/>
        <v>b</v>
      </c>
      <c r="M57" t="str">
        <f>REPT(" ",3-K57)&amp;IF(K57=0," ","")</f>
        <v xml:space="preserve">    </v>
      </c>
      <c r="O57" s="194"/>
      <c r="P57" s="208">
        <f>IF(ISNUMBER(D57),LOOKUP(D57,$AA$5:$AB$7),D57)</f>
        <v>0</v>
      </c>
      <c r="Q57" s="208">
        <f t="shared" si="8"/>
        <v>0</v>
      </c>
      <c r="R57" s="301" t="str">
        <f t="shared" ca="1" si="7"/>
        <v/>
      </c>
      <c r="S57" s="305">
        <f>H57</f>
        <v>0</v>
      </c>
      <c r="T57" s="145"/>
      <c r="U57" s="216">
        <f ca="1">IF(L57="l","",IF(D57+F57&gt;0,SUM(Y57:Z57),-1))</f>
        <v>-1</v>
      </c>
      <c r="V57" s="376"/>
      <c r="W57" s="444"/>
      <c r="Y57" s="114">
        <f>IF(D57&gt;0,0,TRUNC(F57*T57))</f>
        <v>0</v>
      </c>
      <c r="Z57" t="b">
        <f>IF($D57=1,SUM(Y$13:Y55)-SUM(Z$13:Z55),IF($D57=2,$Z$6,IF($D57=3,TRUNC($Z$6,-3))))</f>
        <v>0</v>
      </c>
      <c r="AA57">
        <f ca="1">IF(OR(AB$8=0,L56="l",D57&gt;0,U57=-1),0,IF(L56="b",-U57,TRUNC(F56*T57)))</f>
        <v>0</v>
      </c>
      <c r="AB57" t="b">
        <f>IF($D57=1,SUM(AA$13:AA55)-SUM(AB$13:AB55),IF($D57=2,$Z$5,IF($D57=3,TRUNC($Z$5,-3))))</f>
        <v>0</v>
      </c>
    </row>
    <row r="58" spans="3:28" ht="15" customHeight="1" x14ac:dyDescent="0.15">
      <c r="C58" s="182"/>
      <c r="D58" s="210"/>
      <c r="E58" s="184"/>
      <c r="F58" s="225"/>
      <c r="G58" s="297" t="str">
        <f ca="1">IF(OR(AB$8=0,L58="b"),"",IF(L58="l",0,"("&amp;FIXED(-F58,K59,0)&amp;M58))</f>
        <v/>
      </c>
      <c r="H58" s="183"/>
      <c r="I58" s="185"/>
      <c r="L58" t="str">
        <f t="shared" ca="1" si="6"/>
        <v>b</v>
      </c>
      <c r="M58" t="str">
        <f>")"&amp;REPT(" ",2-K59)&amp;IF(K59=0," ","")</f>
        <v xml:space="preserve">)   </v>
      </c>
      <c r="O58" s="194"/>
      <c r="P58" s="207">
        <f>D58</f>
        <v>0</v>
      </c>
      <c r="Q58" s="207">
        <f t="shared" si="8"/>
        <v>0</v>
      </c>
      <c r="R58" s="300" t="str">
        <f t="shared" ca="1" si="7"/>
        <v/>
      </c>
      <c r="S58" s="304"/>
      <c r="T58" s="144"/>
      <c r="U58" s="206">
        <f ca="1">IF(OR(AB$8=0,SUM(Y59:AB59)=0),1,IF(L58="l","",SUM(AA59:AB59)))</f>
        <v>1</v>
      </c>
      <c r="V58" s="375"/>
      <c r="W58" s="442"/>
    </row>
    <row r="59" spans="3:28" ht="15" customHeight="1" x14ac:dyDescent="0.15">
      <c r="C59" s="186"/>
      <c r="D59" s="205"/>
      <c r="E59" s="188"/>
      <c r="F59" s="226"/>
      <c r="G59" s="296" t="str">
        <f ca="1">IF(L59="b","",IF(L59="l",0,FIXED(F59,K59,0)&amp;M59))</f>
        <v/>
      </c>
      <c r="H59" s="187"/>
      <c r="I59" s="189"/>
      <c r="K59" s="215"/>
      <c r="L59" t="str">
        <f t="shared" ca="1" si="6"/>
        <v>b</v>
      </c>
      <c r="M59" t="str">
        <f>REPT(" ",3-K59)&amp;IF(K59=0," ","")</f>
        <v xml:space="preserve">    </v>
      </c>
      <c r="O59" s="194"/>
      <c r="P59" s="208">
        <f>IF(ISNUMBER(D59),LOOKUP(D59,$AA$5:$AB$7),D59)</f>
        <v>0</v>
      </c>
      <c r="Q59" s="208">
        <f t="shared" si="8"/>
        <v>0</v>
      </c>
      <c r="R59" s="301" t="str">
        <f t="shared" ca="1" si="7"/>
        <v/>
      </c>
      <c r="S59" s="305">
        <f>H59</f>
        <v>0</v>
      </c>
      <c r="T59" s="471"/>
      <c r="U59" s="216">
        <f ca="1">IF(L59="l","",IF(D59+F59&gt;0,SUM(Y59:Z59),-1))</f>
        <v>-1</v>
      </c>
      <c r="V59" s="376"/>
      <c r="W59" s="443"/>
      <c r="Y59" s="114">
        <f>IF(D59&gt;0,0,TRUNC(F59*T59))</f>
        <v>0</v>
      </c>
      <c r="Z59" t="b">
        <f>IF($D59=1,SUM(Y$13:Y57)-SUM(Z$13:Z57),IF($D59=2,$Z$6,IF($D59=3,TRUNC($Z$6,-3))))</f>
        <v>0</v>
      </c>
      <c r="AA59">
        <f ca="1">IF(OR(AB$8=0,L58="l",D59&gt;0,U59=-1),0,IF(L58="b",-U59,TRUNC(F58*T59)))</f>
        <v>0</v>
      </c>
      <c r="AB59" t="b">
        <f>IF($D59=1,SUM(AA$13:AA57)-SUM(AB$13:AB57),IF($D59=2,$Z$5,IF($D59=3,TRUNC($Z$5,-3))))</f>
        <v>0</v>
      </c>
    </row>
    <row r="60" spans="3:28" ht="15" customHeight="1" x14ac:dyDescent="0.15">
      <c r="C60" s="182"/>
      <c r="D60" s="210"/>
      <c r="E60" s="184"/>
      <c r="F60" s="225"/>
      <c r="G60" s="297" t="str">
        <f ca="1">IF(OR(AB$8=0,L60="b"),"",IF(L60="l",0,"("&amp;FIXED(-F60,K61,0)&amp;M60))</f>
        <v/>
      </c>
      <c r="H60" s="183"/>
      <c r="I60" s="185"/>
      <c r="L60" t="str">
        <f t="shared" ca="1" si="6"/>
        <v>b</v>
      </c>
      <c r="M60" t="str">
        <f>")"&amp;REPT(" ",2-K61)&amp;IF(K61=0," ","")</f>
        <v xml:space="preserve">)   </v>
      </c>
      <c r="O60" s="194"/>
      <c r="P60" s="207">
        <f>D60</f>
        <v>0</v>
      </c>
      <c r="Q60" s="207">
        <f t="shared" si="8"/>
        <v>0</v>
      </c>
      <c r="R60" s="300" t="str">
        <f t="shared" ca="1" si="7"/>
        <v/>
      </c>
      <c r="S60" s="304"/>
      <c r="T60" s="144"/>
      <c r="U60" s="206">
        <f ca="1">IF(OR(AB$8=0,SUM(Y61:AB61)=0),1,IF(L60="l","",SUM(AA61:AB61)))</f>
        <v>1</v>
      </c>
      <c r="V60" s="375"/>
      <c r="W60" s="442"/>
    </row>
    <row r="61" spans="3:28" ht="15" customHeight="1" x14ac:dyDescent="0.15">
      <c r="C61" s="186"/>
      <c r="D61" s="205"/>
      <c r="E61" s="188"/>
      <c r="F61" s="226"/>
      <c r="G61" s="296" t="str">
        <f ca="1">IF(L61="b","",IF(L61="l",0,FIXED(F61,K61,0)&amp;M61))</f>
        <v/>
      </c>
      <c r="H61" s="187"/>
      <c r="I61" s="189"/>
      <c r="K61" s="215"/>
      <c r="L61" t="str">
        <f t="shared" ca="1" si="6"/>
        <v>b</v>
      </c>
      <c r="M61" t="str">
        <f>REPT(" ",3-K61)&amp;IF(K61=0," ","")</f>
        <v xml:space="preserve">    </v>
      </c>
      <c r="O61" s="194"/>
      <c r="P61" s="208">
        <f>IF(ISNUMBER(D61),LOOKUP(D61,$AA$5:$AB$7),D61)</f>
        <v>0</v>
      </c>
      <c r="Q61" s="208">
        <f t="shared" si="8"/>
        <v>0</v>
      </c>
      <c r="R61" s="301" t="str">
        <f t="shared" ca="1" si="7"/>
        <v/>
      </c>
      <c r="S61" s="305">
        <f>H61</f>
        <v>0</v>
      </c>
      <c r="T61" s="145"/>
      <c r="U61" s="216">
        <f ca="1">IF(L61="l","",IF(D61+F61&gt;0,SUM(Y61:Z61),-1))</f>
        <v>-1</v>
      </c>
      <c r="V61" s="376"/>
      <c r="W61" s="444"/>
      <c r="Y61" s="114">
        <f>IF(D61&gt;0,0,TRUNC(F61*T61))</f>
        <v>0</v>
      </c>
      <c r="Z61" t="b">
        <f>IF($D61=1,SUM(Y$13:Y59)-SUM(Z$13:Z59),IF($D61=2,$Z$6,IF($D61=3,TRUNC($Z$6,-3))))</f>
        <v>0</v>
      </c>
      <c r="AA61">
        <f ca="1">IF(OR(AB$8=0,L60="l",D61&gt;0,U61=-1),0,IF(L60="b",-U61,TRUNC(F60*T61)))</f>
        <v>0</v>
      </c>
      <c r="AB61" t="b">
        <f>IF($D61=1,SUM(AA$13:AA59)-SUM(AB$13:AB59),IF($D61=2,$Z$5,IF($D61=3,TRUNC($Z$5,-3))))</f>
        <v>0</v>
      </c>
    </row>
    <row r="62" spans="3:28" ht="15" customHeight="1" x14ac:dyDescent="0.15">
      <c r="C62" s="182"/>
      <c r="D62" s="210"/>
      <c r="E62" s="184"/>
      <c r="F62" s="225"/>
      <c r="G62" s="297" t="str">
        <f ca="1">IF(OR(AB$8=0,L62="b"),"",IF(L62="l",0,"("&amp;FIXED(-F62,K63,0)&amp;M62))</f>
        <v/>
      </c>
      <c r="H62" s="183"/>
      <c r="I62" s="185"/>
      <c r="L62" t="str">
        <f t="shared" ca="1" si="6"/>
        <v>b</v>
      </c>
      <c r="M62" t="str">
        <f>")"&amp;REPT(" ",2-K63)&amp;IF(K63=0," ","")</f>
        <v xml:space="preserve">)   </v>
      </c>
      <c r="O62" s="194"/>
      <c r="P62" s="207">
        <f>D62</f>
        <v>0</v>
      </c>
      <c r="Q62" s="207">
        <f t="shared" si="8"/>
        <v>0</v>
      </c>
      <c r="R62" s="300" t="str">
        <f t="shared" ca="1" si="7"/>
        <v/>
      </c>
      <c r="S62" s="304"/>
      <c r="T62" s="144"/>
      <c r="U62" s="206">
        <f ca="1">IF(OR(AB$8=0,SUM(Y63:AB63)=0),1,IF(L62="l","",SUM(AA63:AB63)))</f>
        <v>1</v>
      </c>
      <c r="V62" s="375"/>
      <c r="W62" s="442"/>
    </row>
    <row r="63" spans="3:28" ht="15" customHeight="1" x14ac:dyDescent="0.15">
      <c r="C63" s="186"/>
      <c r="D63" s="205"/>
      <c r="E63" s="188"/>
      <c r="F63" s="226"/>
      <c r="G63" s="296" t="str">
        <f ca="1">IF(L63="b","",IF(L63="l",0,FIXED(F63,K63,0)&amp;M63))</f>
        <v/>
      </c>
      <c r="H63" s="187"/>
      <c r="I63" s="189"/>
      <c r="K63" s="215"/>
      <c r="L63" t="str">
        <f t="shared" ca="1" si="6"/>
        <v>b</v>
      </c>
      <c r="M63" t="str">
        <f>REPT(" ",3-K63)&amp;IF(K63=0," ","")</f>
        <v xml:space="preserve">    </v>
      </c>
      <c r="O63" s="194"/>
      <c r="P63" s="208">
        <f>IF(ISNUMBER(D63),LOOKUP(D63,$AA$5:$AB$7),D63)</f>
        <v>0</v>
      </c>
      <c r="Q63" s="208">
        <f t="shared" si="8"/>
        <v>0</v>
      </c>
      <c r="R63" s="301" t="str">
        <f t="shared" ca="1" si="7"/>
        <v/>
      </c>
      <c r="S63" s="305">
        <f>H63</f>
        <v>0</v>
      </c>
      <c r="T63" s="145"/>
      <c r="U63" s="216">
        <f ca="1">IF(L63="l","",IF(D63+F63&gt;0,SUM(Y63:Z63),-1))</f>
        <v>-1</v>
      </c>
      <c r="V63" s="376"/>
      <c r="W63" s="444"/>
      <c r="Y63" s="114">
        <f>IF(D63&gt;0,0,TRUNC(F63*T63))</f>
        <v>0</v>
      </c>
      <c r="Z63" t="b">
        <f>IF($D63=1,SUM(Y$13:Y61)-SUM(Z$13:Z61),IF($D63=2,$Z$6,IF($D63=3,TRUNC($Z$6,-3))))</f>
        <v>0</v>
      </c>
      <c r="AA63">
        <f ca="1">IF(OR(AB$8=0,L62="l",D63&gt;0,U63=-1),0,IF(L62="b",-U63,TRUNC(F62*T63)))</f>
        <v>0</v>
      </c>
      <c r="AB63" t="b">
        <f>IF($D63=1,SUM(AA$13:AA61)-SUM(AB$13:AB61),IF($D63=2,$Z$5,IF($D63=3,TRUNC($Z$5,-3))))</f>
        <v>0</v>
      </c>
    </row>
    <row r="64" spans="3:28" ht="15" customHeight="1" x14ac:dyDescent="0.15">
      <c r="C64" s="182"/>
      <c r="D64" s="210"/>
      <c r="E64" s="184"/>
      <c r="F64" s="225"/>
      <c r="G64" s="297" t="str">
        <f ca="1">IF(OR(AB$8=0,L64="b"),"",IF(L64="l",0,"("&amp;FIXED(-F64,K65,0)&amp;M64))</f>
        <v/>
      </c>
      <c r="H64" s="183"/>
      <c r="I64" s="185"/>
      <c r="L64" t="str">
        <f t="shared" ca="1" si="6"/>
        <v>b</v>
      </c>
      <c r="M64" t="str">
        <f>")"&amp;REPT(" ",2-K65)&amp;IF(K65=0," ","")</f>
        <v xml:space="preserve">)   </v>
      </c>
      <c r="O64" s="194"/>
      <c r="P64" s="207">
        <f>D64</f>
        <v>0</v>
      </c>
      <c r="Q64" s="207">
        <f t="shared" si="8"/>
        <v>0</v>
      </c>
      <c r="R64" s="300" t="str">
        <f t="shared" ca="1" si="7"/>
        <v/>
      </c>
      <c r="S64" s="304"/>
      <c r="T64" s="144"/>
      <c r="U64" s="206">
        <f ca="1">IF(OR(AB$8=0,SUM(Y65:AB65)=0),1,IF(L64="l","",SUM(AA65:AB65)))</f>
        <v>1</v>
      </c>
      <c r="V64" s="375"/>
      <c r="W64" s="442"/>
    </row>
    <row r="65" spans="1:28" ht="15" customHeight="1" x14ac:dyDescent="0.15">
      <c r="C65" s="186"/>
      <c r="D65" s="205"/>
      <c r="E65" s="188"/>
      <c r="F65" s="226"/>
      <c r="G65" s="296" t="str">
        <f ca="1">IF(L65="b","",IF(L65="l",0,FIXED(F65,K65,0)&amp;M65))</f>
        <v/>
      </c>
      <c r="H65" s="187"/>
      <c r="I65" s="189"/>
      <c r="K65" s="215"/>
      <c r="L65" t="str">
        <f t="shared" ca="1" si="6"/>
        <v>b</v>
      </c>
      <c r="M65" t="str">
        <f>REPT(" ",3-K65)&amp;IF(K65=0," ","")</f>
        <v xml:space="preserve">    </v>
      </c>
      <c r="O65" s="194"/>
      <c r="P65" s="208">
        <f>IF(ISNUMBER(D65),LOOKUP(D65,$AA$5:$AB$7),D65)</f>
        <v>0</v>
      </c>
      <c r="Q65" s="208">
        <f t="shared" si="8"/>
        <v>0</v>
      </c>
      <c r="R65" s="301" t="str">
        <f t="shared" ca="1" si="7"/>
        <v/>
      </c>
      <c r="S65" s="305">
        <f>H65</f>
        <v>0</v>
      </c>
      <c r="T65" s="145"/>
      <c r="U65" s="216">
        <f ca="1">IF(L65="l","",IF(D65+F65&gt;0,SUM(Y65:Z65),-1))</f>
        <v>-1</v>
      </c>
      <c r="V65" s="376"/>
      <c r="W65" s="444"/>
      <c r="Y65" s="114">
        <f>IF(D65&gt;0,0,TRUNC(F65*T65))</f>
        <v>0</v>
      </c>
      <c r="Z65" t="b">
        <f>IF($D65=1,SUM(Y$13:Y63)-SUM(Z$13:Z63),IF($D65=2,$Z$6,IF($D65=3,TRUNC($Z$6,-3))))</f>
        <v>0</v>
      </c>
      <c r="AA65">
        <f ca="1">IF(OR(AB$8=0,L64="l",D65&gt;0,U65=-1),0,IF(L64="b",-U65,TRUNC(F64*T65)))</f>
        <v>0</v>
      </c>
      <c r="AB65" t="b">
        <f>IF($D65=1,SUM(AA$13:AA63)-SUM(AB$13:AB63),IF($D65=2,$Z$5,IF($D65=3,TRUNC($Z$5,-3))))</f>
        <v>0</v>
      </c>
    </row>
    <row r="66" spans="1:28" ht="15" customHeight="1" x14ac:dyDescent="0.15">
      <c r="C66" s="182"/>
      <c r="D66" s="210"/>
      <c r="E66" s="184"/>
      <c r="F66" s="225"/>
      <c r="G66" s="297" t="str">
        <f ca="1">IF(OR(AB$8=0,L66="b"),"",IF(L66="l",0,"("&amp;FIXED(-F66,K67,0)&amp;M66))</f>
        <v/>
      </c>
      <c r="H66" s="183"/>
      <c r="I66" s="185"/>
      <c r="L66" t="str">
        <f t="shared" ref="L66:L73" ca="1" si="9">CELL("type",F66)</f>
        <v>b</v>
      </c>
      <c r="M66" t="str">
        <f>")"&amp;REPT(" ",2-K67)&amp;IF(K67=0," ","")</f>
        <v xml:space="preserve">)   </v>
      </c>
      <c r="O66" s="194"/>
      <c r="P66" s="207">
        <f>D66</f>
        <v>0</v>
      </c>
      <c r="Q66" s="207">
        <f t="shared" ref="Q66:Q73" si="10">E66</f>
        <v>0</v>
      </c>
      <c r="R66" s="300" t="str">
        <f t="shared" ref="R66:R73" ca="1" si="11">G66</f>
        <v/>
      </c>
      <c r="S66" s="304"/>
      <c r="T66" s="144"/>
      <c r="U66" s="206">
        <f ca="1">IF(OR(AB$8=0,SUM(Y67:AB67)=0),1,IF(L66="l","",SUM(AA67:AB67)))</f>
        <v>1</v>
      </c>
      <c r="V66" s="375"/>
      <c r="W66" s="442"/>
    </row>
    <row r="67" spans="1:28" ht="15" customHeight="1" x14ac:dyDescent="0.15">
      <c r="C67" s="186"/>
      <c r="D67" s="205"/>
      <c r="E67" s="188"/>
      <c r="F67" s="226"/>
      <c r="G67" s="296" t="str">
        <f ca="1">IF(L67="b","",IF(L67="l",0,FIXED(F67,K67,0)&amp;M67))</f>
        <v/>
      </c>
      <c r="H67" s="187"/>
      <c r="I67" s="189"/>
      <c r="K67" s="215"/>
      <c r="L67" t="str">
        <f t="shared" ca="1" si="9"/>
        <v>b</v>
      </c>
      <c r="M67" t="str">
        <f>REPT(" ",3-K67)&amp;IF(K67=0," ","")</f>
        <v xml:space="preserve">    </v>
      </c>
      <c r="O67" s="194"/>
      <c r="P67" s="208">
        <f>IF(ISNUMBER(D67),LOOKUP(D67,$AA$5:$AB$7),D67)</f>
        <v>0</v>
      </c>
      <c r="Q67" s="208">
        <f t="shared" si="10"/>
        <v>0</v>
      </c>
      <c r="R67" s="301" t="str">
        <f t="shared" ca="1" si="11"/>
        <v/>
      </c>
      <c r="S67" s="305">
        <f>H67</f>
        <v>0</v>
      </c>
      <c r="T67" s="145"/>
      <c r="U67" s="216">
        <f ca="1">IF(L67="l","",IF(D67+F67&gt;0,SUM(Y67:Z67),-1))</f>
        <v>-1</v>
      </c>
      <c r="V67" s="376"/>
      <c r="W67" s="444"/>
      <c r="Y67" s="114">
        <f>IF(D67&gt;0,0,TRUNC(F67*T67))</f>
        <v>0</v>
      </c>
      <c r="Z67" t="b">
        <f>IF($D67=1,SUM(Y$13:Y65)-SUM(Z$13:Z65),IF($D67=2,$Z$6,IF($D67=3,TRUNC($Z$6,-3))))</f>
        <v>0</v>
      </c>
      <c r="AA67">
        <f ca="1">IF(OR(AB$8=0,L66="l",D67&gt;0,U67=-1),0,IF(L66="b",-U67,TRUNC(F66*T67)))</f>
        <v>0</v>
      </c>
      <c r="AB67" t="b">
        <f>IF($D67=1,SUM(AA$13:AA65)-SUM(AB$13:AB65),IF($D67=2,$Z$5,IF($D67=3,TRUNC($Z$5,-3))))</f>
        <v>0</v>
      </c>
    </row>
    <row r="68" spans="1:28" ht="15" customHeight="1" x14ac:dyDescent="0.15">
      <c r="C68" s="182"/>
      <c r="D68" s="210"/>
      <c r="E68" s="184"/>
      <c r="F68" s="225"/>
      <c r="G68" s="297" t="str">
        <f ca="1">IF(OR(AB$8=0,L68="b"),"",IF(L68="l",0,"("&amp;FIXED(-F68,K69,0)&amp;M68))</f>
        <v/>
      </c>
      <c r="H68" s="183"/>
      <c r="I68" s="185"/>
      <c r="L68" t="str">
        <f t="shared" ca="1" si="9"/>
        <v>b</v>
      </c>
      <c r="M68" t="str">
        <f>")"&amp;REPT(" ",2-K69)&amp;IF(K69=0," ","")</f>
        <v xml:space="preserve">)   </v>
      </c>
      <c r="O68" s="194"/>
      <c r="P68" s="207">
        <f>D68</f>
        <v>0</v>
      </c>
      <c r="Q68" s="207">
        <f t="shared" si="10"/>
        <v>0</v>
      </c>
      <c r="R68" s="300" t="str">
        <f t="shared" ca="1" si="11"/>
        <v/>
      </c>
      <c r="S68" s="304"/>
      <c r="T68" s="144"/>
      <c r="U68" s="206">
        <f ca="1">IF(OR(AB$8=0,SUM(Y69:AB69)=0),1,IF(L68="l","",SUM(AA69:AB69)))</f>
        <v>1</v>
      </c>
      <c r="V68" s="375"/>
      <c r="W68" s="442"/>
    </row>
    <row r="69" spans="1:28" ht="15" customHeight="1" x14ac:dyDescent="0.15">
      <c r="C69" s="186"/>
      <c r="D69" s="205">
        <v>2</v>
      </c>
      <c r="E69" s="188"/>
      <c r="F69" s="226"/>
      <c r="G69" s="296" t="str">
        <f ca="1">IF(L69="b","",IF(L69="l",0,FIXED(F69,K69,0)&amp;M69))</f>
        <v/>
      </c>
      <c r="H69" s="187"/>
      <c r="I69" s="189"/>
      <c r="K69" s="215"/>
      <c r="L69" t="str">
        <f t="shared" ca="1" si="9"/>
        <v>b</v>
      </c>
      <c r="M69" t="str">
        <f>REPT(" ",3-K69)&amp;IF(K69=0," ","")</f>
        <v xml:space="preserve">    </v>
      </c>
      <c r="O69" s="194"/>
      <c r="P69" s="208" t="str">
        <f>IF(ISNUMBER(D69),LOOKUP(D69,$AA$5:$AB$7),D69)</f>
        <v>合　　　計</v>
      </c>
      <c r="Q69" s="208">
        <f t="shared" si="10"/>
        <v>0</v>
      </c>
      <c r="R69" s="301" t="str">
        <f t="shared" ca="1" si="11"/>
        <v/>
      </c>
      <c r="S69" s="305">
        <f>H69</f>
        <v>0</v>
      </c>
      <c r="T69" s="145"/>
      <c r="U69" s="216">
        <f ca="1">IF(L69="l","",IF(D69+F69&gt;0,SUM(Y69:Z69),-1))</f>
        <v>21932310</v>
      </c>
      <c r="V69" s="376"/>
      <c r="W69" s="445"/>
      <c r="Y69" s="114">
        <f>IF(D69&gt;0,0,TRUNC(F69*T69))</f>
        <v>0</v>
      </c>
      <c r="Z69">
        <f ca="1">IF($D69=1,SUM(Y$13:Y67)-SUM(Z$13:Z67),IF($D69=2,$Z$6,IF($D69=3,TRUNC($Z$6,-3))))</f>
        <v>21932310</v>
      </c>
      <c r="AA69">
        <f ca="1">IF(OR(AB$8=0,L68="l",D69&gt;0,U69=-1),0,IF(L68="b",-U69,TRUNC(F68*T69)))</f>
        <v>0</v>
      </c>
      <c r="AB69">
        <f ca="1">IF($D69=1,SUM(AA$13:AA67)-SUM(AB$13:AB67),IF($D69=2,$Z$5,IF($D69=3,TRUNC($Z$5,-3))))</f>
        <v>0</v>
      </c>
    </row>
    <row r="70" spans="1:28" ht="15" customHeight="1" x14ac:dyDescent="0.15">
      <c r="C70" s="182"/>
      <c r="D70" s="210"/>
      <c r="E70" s="184"/>
      <c r="F70" s="225"/>
      <c r="G70" s="297" t="str">
        <f ca="1">IF(OR(AB$8=0,L70="b"),"",IF(L70="l",0,"("&amp;FIXED(-F70,K71,0)&amp;M70))</f>
        <v/>
      </c>
      <c r="H70" s="183"/>
      <c r="I70" s="185"/>
      <c r="L70" t="str">
        <f t="shared" ca="1" si="9"/>
        <v>b</v>
      </c>
      <c r="M70" t="str">
        <f>")"&amp;REPT(" ",2-K71)&amp;IF(K71=0," ","")</f>
        <v xml:space="preserve">)   </v>
      </c>
      <c r="O70" s="194"/>
      <c r="P70" s="207">
        <f>D70</f>
        <v>0</v>
      </c>
      <c r="Q70" s="207">
        <f t="shared" si="10"/>
        <v>0</v>
      </c>
      <c r="R70" s="300" t="str">
        <f t="shared" ca="1" si="11"/>
        <v/>
      </c>
      <c r="S70" s="304"/>
      <c r="T70" s="144"/>
      <c r="U70" s="206">
        <f ca="1">IF(OR(AB$8=0,SUM(Y71:AB71)=0),1,IF(L70="l","",SUM(AA71:AB71)))</f>
        <v>1</v>
      </c>
      <c r="V70" s="375"/>
      <c r="W70" s="442"/>
    </row>
    <row r="71" spans="1:28" ht="15" customHeight="1" x14ac:dyDescent="0.15">
      <c r="C71" s="186"/>
      <c r="D71" s="205">
        <v>3</v>
      </c>
      <c r="E71" s="188"/>
      <c r="F71" s="226"/>
      <c r="G71" s="296" t="str">
        <f ca="1">IF(L71="b","",IF(L71="l",0,FIXED(F71,K71,0)&amp;M71))</f>
        <v/>
      </c>
      <c r="H71" s="187"/>
      <c r="I71" s="189"/>
      <c r="K71" s="215"/>
      <c r="L71" t="str">
        <f t="shared" ca="1" si="9"/>
        <v>b</v>
      </c>
      <c r="M71" t="str">
        <f>REPT(" ",3-K71)&amp;IF(K71=0," ","")</f>
        <v xml:space="preserve">    </v>
      </c>
      <c r="O71" s="194"/>
      <c r="P71" s="208" t="str">
        <f>IF(ISNUMBER(D71),LOOKUP(D71,$AA$5:$AB$7),D71)</f>
        <v>改　　　め</v>
      </c>
      <c r="Q71" s="208">
        <f t="shared" si="10"/>
        <v>0</v>
      </c>
      <c r="R71" s="301" t="str">
        <f t="shared" ca="1" si="11"/>
        <v/>
      </c>
      <c r="S71" s="305">
        <f>H71</f>
        <v>0</v>
      </c>
      <c r="T71" s="145"/>
      <c r="U71" s="216">
        <f ca="1">IF(L71="l","",IF(D71+F71&gt;0,SUM(Y71:Z71),-1))</f>
        <v>21932000</v>
      </c>
      <c r="V71" s="376"/>
      <c r="W71" s="444"/>
      <c r="Y71" s="114">
        <f>IF(D71&gt;0,0,TRUNC(F71*T71))</f>
        <v>0</v>
      </c>
      <c r="Z71">
        <f ca="1">IF($D71=1,SUM(Y$13:Y69)-SUM(Z$13:Z69),IF($D71=2,$Z$6,IF($D71=3,TRUNC($Z$6,-3))))</f>
        <v>21932000</v>
      </c>
      <c r="AA71">
        <f ca="1">IF(OR(AB$8=0,L70="l",D71&gt;0,U71=-1),0,IF(L70="b",-U71,TRUNC(F70*T71)))</f>
        <v>0</v>
      </c>
      <c r="AB71">
        <f ca="1">IF($D71=1,SUM(AA$13:AA69)-SUM(AB$13:AB69),IF($D71=2,$Z$5,IF($D71=3,TRUNC($Z$5,-3))))</f>
        <v>0</v>
      </c>
    </row>
    <row r="72" spans="1:28" ht="15" customHeight="1" x14ac:dyDescent="0.15">
      <c r="C72" s="182"/>
      <c r="D72" s="210"/>
      <c r="E72" s="184"/>
      <c r="F72" s="225"/>
      <c r="G72" s="297" t="str">
        <f ca="1">IF(OR(AB$8=0,L72="b"),"",IF(L72="l",0,"("&amp;FIXED(-F72,K73,0)&amp;M72))</f>
        <v/>
      </c>
      <c r="H72" s="183"/>
      <c r="I72" s="185"/>
      <c r="L72" t="str">
        <f t="shared" ca="1" si="9"/>
        <v>b</v>
      </c>
      <c r="M72" t="str">
        <f>")"&amp;REPT(" ",2-K73)&amp;IF(K73=0," ","")</f>
        <v xml:space="preserve">)   </v>
      </c>
      <c r="O72" s="194"/>
      <c r="P72" s="207">
        <f>D72</f>
        <v>0</v>
      </c>
      <c r="Q72" s="207">
        <f t="shared" si="10"/>
        <v>0</v>
      </c>
      <c r="R72" s="300" t="str">
        <f t="shared" ca="1" si="11"/>
        <v/>
      </c>
      <c r="S72" s="304"/>
      <c r="T72" s="144"/>
      <c r="U72" s="206">
        <f ca="1">IF(OR(AB$8=0,SUM(Y73:AB73)=0),1,IF(L72="l","",SUM(AA73:AB73)))</f>
        <v>1</v>
      </c>
      <c r="V72" s="375"/>
      <c r="W72" s="442"/>
    </row>
    <row r="73" spans="1:28" ht="15" customHeight="1" thickBot="1" x14ac:dyDescent="0.2">
      <c r="C73" s="190"/>
      <c r="D73" s="211"/>
      <c r="E73" s="192"/>
      <c r="F73" s="228"/>
      <c r="G73" s="298" t="str">
        <f ca="1">IF(L73="b","",IF(L73="l",0,FIXED(F73,K73,0)&amp;M73))</f>
        <v/>
      </c>
      <c r="H73" s="191"/>
      <c r="I73" s="193"/>
      <c r="K73" s="215"/>
      <c r="L73" t="str">
        <f t="shared" ca="1" si="9"/>
        <v>b</v>
      </c>
      <c r="M73" t="str">
        <f>REPT(" ",3-K73)&amp;IF(K73=0," ","")</f>
        <v xml:space="preserve">    </v>
      </c>
      <c r="O73" s="254"/>
      <c r="P73" s="209">
        <f>IF(ISNUMBER(D73),LOOKUP(D73,$AA$5:$AB$7),D73)</f>
        <v>0</v>
      </c>
      <c r="Q73" s="209">
        <f t="shared" si="10"/>
        <v>0</v>
      </c>
      <c r="R73" s="302" t="str">
        <f t="shared" ca="1" si="11"/>
        <v/>
      </c>
      <c r="S73" s="306">
        <f>H73</f>
        <v>0</v>
      </c>
      <c r="T73" s="146"/>
      <c r="U73" s="217">
        <f ca="1">IF(L73="l","",IF(D73+F73&gt;0,SUM(Y73:Z73),-1))</f>
        <v>-1</v>
      </c>
      <c r="V73" s="377"/>
      <c r="W73" s="446"/>
      <c r="Y73" s="114">
        <f>IF(D73&gt;0,0,TRUNC(F73*T73))</f>
        <v>0</v>
      </c>
      <c r="Z73" t="b">
        <f>IF($D73=1,SUM(Y$13:Y71)-SUM(Z$13:Z71),IF($D73=2,$Z$6,IF($D73=3,TRUNC($Z$6,-3))))</f>
        <v>0</v>
      </c>
      <c r="AA73">
        <f ca="1">IF(OR(AB$8=0,L72="l",D73&gt;0,U73=-1),0,IF(L72="b",-U73,TRUNC(F72*T73)))</f>
        <v>0</v>
      </c>
      <c r="AB73" t="b">
        <f>IF($D73=1,SUM(AA$13:AA71)-SUM(AB$13:AB71),IF($D73=2,$Z$5,IF($D73=3,TRUNC($Z$5,-3))))</f>
        <v>0</v>
      </c>
    </row>
    <row r="74" spans="1:28" ht="13.5" customHeight="1" x14ac:dyDescent="0.15">
      <c r="A74" s="257"/>
      <c r="B74" s="257"/>
      <c r="C74" s="257"/>
      <c r="D74" s="257"/>
      <c r="E74" s="257"/>
      <c r="F74" s="257"/>
      <c r="G74" s="257"/>
      <c r="H74" s="257"/>
      <c r="I74" s="257"/>
      <c r="J74" s="257"/>
      <c r="K74" s="257"/>
      <c r="L74" s="257"/>
      <c r="M74" s="257"/>
      <c r="N74" s="257"/>
      <c r="O74" s="378"/>
      <c r="P74" s="378"/>
      <c r="Q74" s="378"/>
      <c r="R74" s="379"/>
      <c r="S74" s="378"/>
      <c r="T74" s="380"/>
      <c r="U74" s="379"/>
      <c r="V74" s="381"/>
      <c r="W74" s="259"/>
    </row>
    <row r="75" spans="1:28" ht="13.5" customHeight="1" x14ac:dyDescent="0.15">
      <c r="O75" s="20"/>
      <c r="P75" s="20"/>
      <c r="Q75" s="20"/>
      <c r="R75" s="382"/>
      <c r="S75" s="20"/>
      <c r="T75" s="383"/>
      <c r="U75" s="382"/>
      <c r="V75" s="384"/>
      <c r="W75" s="21"/>
      <c r="Y75" s="114"/>
    </row>
    <row r="76" spans="1:28" ht="13.5" customHeight="1" x14ac:dyDescent="0.15">
      <c r="O76" s="20"/>
      <c r="P76" s="20"/>
      <c r="Q76" s="20"/>
      <c r="R76" s="382"/>
      <c r="S76" s="20"/>
      <c r="T76" s="383"/>
      <c r="U76" s="382"/>
      <c r="V76" s="384"/>
      <c r="W76" s="21"/>
    </row>
    <row r="77" spans="1:28" ht="13.5" customHeight="1" x14ac:dyDescent="0.15">
      <c r="O77" s="20"/>
      <c r="P77" s="20"/>
      <c r="Q77" s="20"/>
      <c r="R77" s="382"/>
      <c r="S77" s="20"/>
      <c r="T77" s="383"/>
      <c r="U77" s="382"/>
      <c r="V77" s="384"/>
      <c r="W77" s="21"/>
      <c r="Y77" s="114"/>
    </row>
    <row r="78" spans="1:28" x14ac:dyDescent="0.15">
      <c r="O78" s="20"/>
      <c r="P78" s="20"/>
      <c r="Q78" s="20"/>
      <c r="R78" s="382"/>
      <c r="S78" s="20"/>
      <c r="T78" s="383"/>
      <c r="U78" s="382"/>
      <c r="V78" s="384"/>
      <c r="W78" s="21"/>
    </row>
    <row r="79" spans="1:28" x14ac:dyDescent="0.15">
      <c r="O79" s="20"/>
      <c r="P79" s="20"/>
      <c r="Q79" s="20"/>
      <c r="R79" s="382"/>
      <c r="S79" s="20"/>
      <c r="T79" s="383"/>
      <c r="U79" s="382"/>
      <c r="V79" s="384"/>
      <c r="W79" s="21"/>
      <c r="Y79" s="114"/>
    </row>
    <row r="80" spans="1:28" x14ac:dyDescent="0.15">
      <c r="O80" s="20"/>
      <c r="P80" s="20"/>
      <c r="Q80" s="20"/>
      <c r="R80" s="382"/>
      <c r="S80" s="20"/>
      <c r="T80" s="383"/>
      <c r="U80" s="382"/>
      <c r="V80" s="384"/>
      <c r="W80" s="21"/>
    </row>
    <row r="81" spans="15:23" x14ac:dyDescent="0.15">
      <c r="O81" s="20"/>
      <c r="P81" s="20"/>
      <c r="Q81" s="20"/>
      <c r="R81" s="382"/>
      <c r="S81" s="20"/>
      <c r="T81" s="383"/>
      <c r="U81" s="382"/>
      <c r="V81" s="384"/>
      <c r="W81" s="21"/>
    </row>
    <row r="82" spans="15:23" x14ac:dyDescent="0.15">
      <c r="O82" s="20"/>
      <c r="P82" s="20"/>
      <c r="Q82" s="20"/>
      <c r="R82" s="382"/>
      <c r="S82" s="20"/>
      <c r="T82" s="383"/>
      <c r="U82" s="382"/>
      <c r="V82" s="384"/>
      <c r="W82" s="21"/>
    </row>
    <row r="83" spans="15:23" ht="15" customHeight="1" x14ac:dyDescent="0.15">
      <c r="O83" s="20"/>
      <c r="P83" s="20"/>
      <c r="Q83" s="20"/>
      <c r="R83" s="382"/>
      <c r="S83" s="20"/>
      <c r="T83" s="383"/>
      <c r="U83" s="382"/>
      <c r="V83" s="384"/>
      <c r="W83" s="21"/>
    </row>
    <row r="84" spans="15:23" ht="15" customHeight="1" x14ac:dyDescent="0.15">
      <c r="O84" s="20"/>
      <c r="P84" s="20"/>
      <c r="Q84" s="20"/>
      <c r="R84" s="382"/>
      <c r="S84" s="20"/>
      <c r="T84" s="383"/>
      <c r="U84" s="382"/>
      <c r="V84" s="384"/>
      <c r="W84" s="21"/>
    </row>
    <row r="85" spans="15:23" ht="15" customHeight="1" x14ac:dyDescent="0.15">
      <c r="O85" s="20"/>
      <c r="P85" s="20"/>
      <c r="Q85" s="20"/>
      <c r="R85" s="382"/>
      <c r="S85" s="20"/>
      <c r="T85" s="383"/>
      <c r="U85" s="382"/>
      <c r="V85" s="384"/>
      <c r="W85" s="21"/>
    </row>
    <row r="86" spans="15:23" ht="15" customHeight="1" x14ac:dyDescent="0.15">
      <c r="O86" s="20"/>
      <c r="P86" s="20"/>
      <c r="Q86" s="20"/>
      <c r="R86" s="382"/>
      <c r="S86" s="20"/>
      <c r="T86" s="383"/>
      <c r="U86" s="382"/>
      <c r="V86" s="384"/>
      <c r="W86" s="21"/>
    </row>
    <row r="87" spans="15:23" ht="15" customHeight="1" x14ac:dyDescent="0.15">
      <c r="O87" s="20"/>
      <c r="P87" s="20"/>
      <c r="Q87" s="20"/>
      <c r="R87" s="382"/>
      <c r="S87" s="20"/>
      <c r="T87" s="383"/>
      <c r="U87" s="382"/>
      <c r="V87" s="384"/>
      <c r="W87" s="21"/>
    </row>
    <row r="88" spans="15:23" ht="15" customHeight="1" x14ac:dyDescent="0.15">
      <c r="O88" s="20"/>
      <c r="P88" s="20"/>
      <c r="Q88" s="20"/>
      <c r="R88" s="382"/>
      <c r="S88" s="20"/>
      <c r="T88" s="383"/>
      <c r="U88" s="382"/>
      <c r="V88" s="384"/>
      <c r="W88" s="21"/>
    </row>
    <row r="89" spans="15:23" ht="15" customHeight="1" x14ac:dyDescent="0.15">
      <c r="O89" s="20"/>
      <c r="P89" s="20"/>
      <c r="Q89" s="20"/>
      <c r="R89" s="382"/>
      <c r="S89" s="20"/>
      <c r="T89" s="383"/>
      <c r="U89" s="382"/>
      <c r="V89" s="384"/>
      <c r="W89" s="21"/>
    </row>
    <row r="90" spans="15:23" ht="15" customHeight="1" x14ac:dyDescent="0.15">
      <c r="O90" s="20"/>
      <c r="P90" s="20"/>
      <c r="Q90" s="20"/>
      <c r="R90" s="382"/>
      <c r="S90" s="20"/>
      <c r="T90" s="383"/>
      <c r="U90" s="382"/>
      <c r="V90" s="384"/>
      <c r="W90" s="21"/>
    </row>
    <row r="91" spans="15:23" ht="15" customHeight="1" x14ac:dyDescent="0.15"/>
    <row r="92" spans="15:23" ht="15" customHeight="1" x14ac:dyDescent="0.15"/>
    <row r="93" spans="15:23" ht="15" customHeight="1" x14ac:dyDescent="0.15"/>
    <row r="94" spans="15:23" ht="15" customHeight="1" x14ac:dyDescent="0.15"/>
    <row r="95" spans="15:23" ht="15" customHeight="1" x14ac:dyDescent="0.15"/>
    <row r="96" spans="15:23"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sheetData>
  <mergeCells count="2">
    <mergeCell ref="V9:V11"/>
    <mergeCell ref="O9:O11"/>
  </mergeCells>
  <phoneticPr fontId="12"/>
  <conditionalFormatting sqref="O67 O69 O55 O57 O18 O20 O22 O27 O24 O61 O63 O65 O59 O39 O51 O45 O53 O41 O47 O49 O43 O37 O29:O33 O35">
    <cfRule type="expression" dxfId="65" priority="1" stopIfTrue="1">
      <formula>D18=1</formula>
    </cfRule>
  </conditionalFormatting>
  <dataValidations count="1">
    <dataValidation imeMode="off" showInputMessage="1" showErrorMessage="1" promptTitle="警告" prompt="計算式が設定されています_x000a_入力を続けますか?" sqref="G12:G73" xr:uid="{00000000-0002-0000-0300-000000000000}"/>
  </dataValidations>
  <pageMargins left="0.70866141732283472" right="0.19685039370078741" top="0.78740157480314965" bottom="0.39370078740157483" header="0" footer="0"/>
  <pageSetup paperSize="9" scale="80" orientation="portrait" blackAndWhite="1"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ransitionEvaluation="1">
    <tabColor indexed="14"/>
  </sheetPr>
  <dimension ref="B2:AM151"/>
  <sheetViews>
    <sheetView showZeros="0" view="pageBreakPreview" topLeftCell="K28" zoomScaleNormal="90" zoomScaleSheetLayoutView="100" workbookViewId="0">
      <selection activeCell="S60" sqref="S60"/>
    </sheetView>
  </sheetViews>
  <sheetFormatPr defaultRowHeight="13.5" x14ac:dyDescent="0.15"/>
  <cols>
    <col min="1" max="1" width="4.625" customWidth="1"/>
    <col min="2" max="2" width="6.625" customWidth="1"/>
    <col min="3" max="3" width="8.625" customWidth="1"/>
    <col min="4" max="5" width="11.625" customWidth="1"/>
    <col min="6" max="9" width="8.625" customWidth="1"/>
    <col min="10" max="11" width="11.625" customWidth="1"/>
    <col min="12" max="12" width="7.125" customWidth="1"/>
    <col min="14" max="14" width="5.625" customWidth="1"/>
    <col min="15" max="15" width="12.625" customWidth="1"/>
    <col min="16" max="19" width="11.625" customWidth="1"/>
    <col min="20" max="21" width="12.625" customWidth="1"/>
    <col min="22" max="22" width="13.625" customWidth="1"/>
    <col min="23" max="23" width="4.625" customWidth="1"/>
    <col min="24" max="26" width="10.625" customWidth="1"/>
    <col min="27" max="27" width="4.625" customWidth="1"/>
    <col min="28" max="29" width="9.625" customWidth="1"/>
    <col min="30" max="38" width="9" customWidth="1"/>
  </cols>
  <sheetData>
    <row r="2" spans="2:30" ht="17.25" x14ac:dyDescent="0.2">
      <c r="P2" s="121" t="s">
        <v>111</v>
      </c>
      <c r="R2" s="668">
        <v>1</v>
      </c>
      <c r="S2" s="293">
        <v>12</v>
      </c>
      <c r="T2" s="119"/>
      <c r="V2" s="119"/>
    </row>
    <row r="3" spans="2:30" ht="18" thickBot="1" x14ac:dyDescent="0.25">
      <c r="P3" s="121"/>
      <c r="R3" s="292"/>
      <c r="S3" s="293"/>
      <c r="T3" s="119"/>
      <c r="V3" s="119"/>
    </row>
    <row r="4" spans="2:30" ht="17.25" x14ac:dyDescent="0.2">
      <c r="P4" s="314" t="s">
        <v>113</v>
      </c>
      <c r="R4" s="311">
        <v>3</v>
      </c>
      <c r="S4" s="469" t="s">
        <v>714</v>
      </c>
      <c r="T4" s="119"/>
      <c r="V4" s="119"/>
    </row>
    <row r="5" spans="2:30" ht="17.25" x14ac:dyDescent="0.2">
      <c r="P5" s="314" t="s">
        <v>116</v>
      </c>
      <c r="R5" s="312">
        <v>1</v>
      </c>
      <c r="S5" s="293"/>
      <c r="T5" s="119"/>
      <c r="V5" s="119"/>
    </row>
    <row r="6" spans="2:30" ht="18" thickBot="1" x14ac:dyDescent="0.25">
      <c r="P6" s="314" t="s">
        <v>122</v>
      </c>
      <c r="R6" s="313">
        <v>1</v>
      </c>
      <c r="S6" s="315" t="s">
        <v>780</v>
      </c>
      <c r="T6" s="119"/>
      <c r="V6" s="119"/>
    </row>
    <row r="7" spans="2:30" ht="18" thickBot="1" x14ac:dyDescent="0.25">
      <c r="P7" s="314" t="s">
        <v>779</v>
      </c>
      <c r="R7" s="636">
        <v>2</v>
      </c>
      <c r="S7" s="315" t="s">
        <v>781</v>
      </c>
      <c r="T7" s="119"/>
      <c r="V7" s="119"/>
    </row>
    <row r="8" spans="2:30" ht="18" hidden="1" thickBot="1" x14ac:dyDescent="0.25">
      <c r="P8" s="121"/>
      <c r="R8" s="292"/>
      <c r="S8" s="293"/>
      <c r="T8" s="119"/>
      <c r="V8" s="119"/>
    </row>
    <row r="9" spans="2:30" ht="18" hidden="1" thickBot="1" x14ac:dyDescent="0.25">
      <c r="O9" s="120"/>
      <c r="P9" s="314" t="s">
        <v>323</v>
      </c>
      <c r="R9" s="294">
        <v>0</v>
      </c>
      <c r="S9" s="295" t="s">
        <v>324</v>
      </c>
      <c r="T9" s="119"/>
      <c r="U9" s="138"/>
      <c r="V9" s="119"/>
    </row>
    <row r="10" spans="2:30" x14ac:dyDescent="0.15">
      <c r="C10" s="113"/>
      <c r="D10" s="113"/>
      <c r="E10" s="113"/>
      <c r="H10" s="610" t="s">
        <v>752</v>
      </c>
    </row>
    <row r="11" spans="2:30" ht="17.25" x14ac:dyDescent="0.2">
      <c r="H11" t="s">
        <v>715</v>
      </c>
      <c r="N11" s="548" t="s">
        <v>797</v>
      </c>
      <c r="O11" s="34"/>
      <c r="P11" s="34"/>
      <c r="Q11" s="34"/>
      <c r="R11" s="34"/>
      <c r="S11" s="34"/>
      <c r="T11" s="34"/>
      <c r="U11" s="34"/>
      <c r="V11" s="34"/>
      <c r="X11" t="s">
        <v>61</v>
      </c>
    </row>
    <row r="12" spans="2:30" ht="14.25" thickBot="1" x14ac:dyDescent="0.2">
      <c r="B12" s="549"/>
      <c r="C12" s="34"/>
      <c r="D12" s="34"/>
      <c r="E12" s="99"/>
      <c r="F12" s="34"/>
      <c r="H12" s="614"/>
      <c r="I12" s="611" t="s">
        <v>800</v>
      </c>
      <c r="J12" s="94">
        <v>18.22</v>
      </c>
      <c r="N12" t="s">
        <v>114</v>
      </c>
      <c r="S12" s="100" t="str">
        <f>P2</f>
        <v>諸 経 費 算 出 世 代</v>
      </c>
      <c r="T12" s="684">
        <f>R2</f>
        <v>1</v>
      </c>
      <c r="U12" s="468">
        <f>S2</f>
        <v>12</v>
      </c>
      <c r="V12" t="s">
        <v>115</v>
      </c>
      <c r="X12" s="113" t="s">
        <v>62</v>
      </c>
      <c r="Y12">
        <v>102</v>
      </c>
      <c r="AB12" s="239">
        <v>0</v>
      </c>
    </row>
    <row r="13" spans="2:30" x14ac:dyDescent="0.15">
      <c r="B13" s="34"/>
      <c r="C13" s="34"/>
      <c r="D13" s="118" t="s">
        <v>234</v>
      </c>
      <c r="E13" s="99"/>
      <c r="F13" s="34"/>
      <c r="H13" s="615"/>
      <c r="I13" s="612" t="s">
        <v>801</v>
      </c>
      <c r="J13" s="86">
        <v>5.21</v>
      </c>
      <c r="N13" s="45"/>
      <c r="O13" s="46"/>
      <c r="P13" s="18"/>
      <c r="Q13" s="47" t="s">
        <v>117</v>
      </c>
      <c r="R13" s="763" t="s">
        <v>118</v>
      </c>
      <c r="S13" s="47" t="s">
        <v>119</v>
      </c>
      <c r="T13" s="763" t="s">
        <v>120</v>
      </c>
      <c r="U13" s="763" t="s">
        <v>121</v>
      </c>
      <c r="V13" s="58" t="s">
        <v>102</v>
      </c>
      <c r="X13" s="113" t="s">
        <v>63</v>
      </c>
      <c r="Y13">
        <v>406</v>
      </c>
    </row>
    <row r="14" spans="2:30" x14ac:dyDescent="0.15">
      <c r="B14" s="34"/>
      <c r="C14" s="34"/>
      <c r="D14" s="118" t="s">
        <v>235</v>
      </c>
      <c r="E14" s="99"/>
      <c r="F14" s="34"/>
      <c r="H14" s="9"/>
      <c r="I14" s="3" t="s">
        <v>146</v>
      </c>
      <c r="J14" s="616">
        <v>42380.2</v>
      </c>
      <c r="N14" s="49" t="s">
        <v>213</v>
      </c>
      <c r="O14" s="25"/>
      <c r="P14" s="25"/>
      <c r="Q14" s="6" t="s">
        <v>124</v>
      </c>
      <c r="R14" s="773"/>
      <c r="S14" s="6" t="s">
        <v>125</v>
      </c>
      <c r="T14" s="773"/>
      <c r="U14" s="773"/>
      <c r="V14" s="69" t="s">
        <v>126</v>
      </c>
      <c r="X14" s="113" t="s">
        <v>64</v>
      </c>
      <c r="Y14">
        <v>0</v>
      </c>
      <c r="AB14" t="s">
        <v>285</v>
      </c>
    </row>
    <row r="15" spans="2:30" ht="14.25" thickBot="1" x14ac:dyDescent="0.2">
      <c r="H15" s="9"/>
      <c r="I15" s="3" t="s">
        <v>147</v>
      </c>
      <c r="J15" s="137">
        <v>-0.47110000000000002</v>
      </c>
      <c r="N15" s="51"/>
      <c r="O15" s="35"/>
      <c r="P15" s="36"/>
      <c r="Q15" s="39" t="s">
        <v>127</v>
      </c>
      <c r="R15" s="39" t="s">
        <v>128</v>
      </c>
      <c r="S15" s="39" t="s">
        <v>129</v>
      </c>
      <c r="T15" s="39" t="s">
        <v>130</v>
      </c>
      <c r="U15" s="39" t="s">
        <v>131</v>
      </c>
      <c r="V15" s="70" t="s">
        <v>132</v>
      </c>
      <c r="X15" s="1" t="s">
        <v>288</v>
      </c>
      <c r="Y15">
        <f>SUM(Y12:Y14)</f>
        <v>508</v>
      </c>
      <c r="AB15" s="233" t="s">
        <v>286</v>
      </c>
      <c r="AC15" s="233" t="s">
        <v>287</v>
      </c>
      <c r="AD15" s="233" t="s">
        <v>288</v>
      </c>
    </row>
    <row r="16" spans="2:30" ht="15" customHeight="1" thickTop="1" x14ac:dyDescent="0.15">
      <c r="N16" s="62">
        <v>1</v>
      </c>
      <c r="O16" s="342">
        <f>O84</f>
        <v>0</v>
      </c>
      <c r="P16" s="343"/>
      <c r="Q16" s="550"/>
      <c r="R16" s="550"/>
      <c r="S16" s="347"/>
      <c r="T16" s="347"/>
      <c r="U16" s="347"/>
      <c r="V16" s="345">
        <f>SUM(Q16:U16)</f>
        <v>0</v>
      </c>
      <c r="AB16" s="114"/>
      <c r="AC16" s="114"/>
    </row>
    <row r="17" spans="2:32" ht="15" customHeight="1" x14ac:dyDescent="0.15">
      <c r="B17" t="s">
        <v>133</v>
      </c>
      <c r="H17" s="610" t="s">
        <v>751</v>
      </c>
      <c r="N17" s="62">
        <v>2</v>
      </c>
      <c r="O17" s="342" t="s">
        <v>805</v>
      </c>
      <c r="P17" s="343"/>
      <c r="Q17" s="344" t="e">
        <f>#REF!/1000</f>
        <v>#REF!</v>
      </c>
      <c r="R17" s="344"/>
      <c r="S17" s="344"/>
      <c r="T17" s="344"/>
      <c r="U17" s="344"/>
      <c r="V17" s="345" t="e">
        <f>SUM(Q17:U17)</f>
        <v>#REF!</v>
      </c>
      <c r="X17" t="s">
        <v>65</v>
      </c>
      <c r="AB17" s="114">
        <v>0</v>
      </c>
      <c r="AC17" s="114">
        <v>0</v>
      </c>
      <c r="AD17">
        <f>SUM(AB17:AC17)</f>
        <v>0</v>
      </c>
    </row>
    <row r="18" spans="2:32" ht="15" customHeight="1" x14ac:dyDescent="0.15">
      <c r="N18" s="62">
        <v>3</v>
      </c>
      <c r="O18" s="342" t="s">
        <v>819</v>
      </c>
      <c r="P18" s="343"/>
      <c r="Q18" s="344" t="e">
        <f>#REF!/1000</f>
        <v>#REF!</v>
      </c>
      <c r="R18" s="347"/>
      <c r="S18" s="347"/>
      <c r="T18" s="347"/>
      <c r="U18" s="347"/>
      <c r="V18" s="345" t="e">
        <f>SUM(Q18:U18)</f>
        <v>#REF!</v>
      </c>
      <c r="X18" t="s">
        <v>66</v>
      </c>
      <c r="Y18">
        <v>1</v>
      </c>
      <c r="AB18" s="114"/>
      <c r="AC18" s="114"/>
    </row>
    <row r="19" spans="2:32" ht="15" customHeight="1" x14ac:dyDescent="0.15">
      <c r="B19" s="82"/>
      <c r="C19" s="83"/>
      <c r="D19" s="87" t="s">
        <v>140</v>
      </c>
      <c r="E19" s="88" t="s">
        <v>141</v>
      </c>
      <c r="H19" s="82"/>
      <c r="I19" s="83"/>
      <c r="J19" s="87" t="s">
        <v>140</v>
      </c>
      <c r="K19" s="88" t="s">
        <v>141</v>
      </c>
      <c r="N19" s="62">
        <v>4</v>
      </c>
      <c r="O19" s="367" t="s">
        <v>821</v>
      </c>
      <c r="P19" s="343"/>
      <c r="Q19" s="344" t="e">
        <f>#REF!/1000</f>
        <v>#REF!</v>
      </c>
      <c r="R19" s="344"/>
      <c r="S19" s="344"/>
      <c r="T19" s="344"/>
      <c r="U19" s="344"/>
      <c r="V19" s="345" t="e">
        <f>SUM(Q19:U19)</f>
        <v>#REF!</v>
      </c>
      <c r="X19" t="s">
        <v>67</v>
      </c>
      <c r="Y19" t="e">
        <f>'経費(電)Ｒ１'!Q</f>
        <v>#NAME?</v>
      </c>
      <c r="AB19" s="114">
        <v>0</v>
      </c>
      <c r="AC19" s="114"/>
      <c r="AD19">
        <f>SUM(AB19:AC19)</f>
        <v>0</v>
      </c>
    </row>
    <row r="20" spans="2:32" ht="15" customHeight="1" x14ac:dyDescent="0.15">
      <c r="B20" s="9"/>
      <c r="C20" s="81" t="s">
        <v>142</v>
      </c>
      <c r="D20" s="84">
        <f>VLOOKUP($B$33,土木費率,2)</f>
        <v>0</v>
      </c>
      <c r="E20" s="85">
        <f>VLOOKUP($B$33,土木費率,7)</f>
        <v>0</v>
      </c>
      <c r="H20" s="11"/>
      <c r="I20" s="81" t="s">
        <v>143</v>
      </c>
      <c r="J20" s="84">
        <v>18.7</v>
      </c>
      <c r="K20" s="625">
        <v>39.630000000000003</v>
      </c>
      <c r="N20" s="64">
        <v>5</v>
      </c>
      <c r="O20" s="342" t="s">
        <v>822</v>
      </c>
      <c r="P20" s="551"/>
      <c r="Q20" s="344" t="e">
        <f>#REF!/1000</f>
        <v>#REF!</v>
      </c>
      <c r="R20" s="552"/>
      <c r="S20" s="552"/>
      <c r="T20" s="552"/>
      <c r="U20" s="552"/>
      <c r="V20" s="553" t="e">
        <f>SUM(Q20:U20)</f>
        <v>#REF!</v>
      </c>
      <c r="X20" t="s">
        <v>68</v>
      </c>
      <c r="AB20" s="114"/>
      <c r="AC20" s="114"/>
    </row>
    <row r="21" spans="2:32" ht="15" customHeight="1" x14ac:dyDescent="0.15">
      <c r="B21" s="9"/>
      <c r="C21" s="81" t="s">
        <v>144</v>
      </c>
      <c r="D21" s="84">
        <f>VLOOKUP($B$33,土木費率,5)</f>
        <v>0</v>
      </c>
      <c r="E21" s="85">
        <f>VLOOKUP($B$33,土木費率,10)</f>
        <v>0</v>
      </c>
      <c r="H21" s="11"/>
      <c r="I21" s="81" t="s">
        <v>798</v>
      </c>
      <c r="J21" s="84">
        <v>5.98</v>
      </c>
      <c r="K21" s="85">
        <v>20.47</v>
      </c>
      <c r="N21" s="62">
        <v>6</v>
      </c>
      <c r="O21" s="342" t="s">
        <v>823</v>
      </c>
      <c r="P21" s="343"/>
      <c r="Q21" s="344" t="e">
        <f>#REF!/1000</f>
        <v>#REF!</v>
      </c>
      <c r="R21" s="344"/>
      <c r="S21" s="344"/>
      <c r="T21" s="344"/>
      <c r="U21" s="344"/>
      <c r="V21" s="553" t="e">
        <f t="shared" ref="V21:V22" si="0">SUM(Q21:U21)</f>
        <v>#REF!</v>
      </c>
      <c r="X21" s="1" t="s">
        <v>288</v>
      </c>
      <c r="Y21" t="e">
        <f>SUM(Y18:Y20)</f>
        <v>#NAME?</v>
      </c>
      <c r="AB21" s="114"/>
      <c r="AC21" s="114"/>
      <c r="AD21">
        <f>SUM(AB21:AC21)</f>
        <v>0</v>
      </c>
    </row>
    <row r="22" spans="2:32" ht="15" customHeight="1" x14ac:dyDescent="0.15">
      <c r="B22" s="9"/>
      <c r="C22" s="3" t="s">
        <v>146</v>
      </c>
      <c r="D22" s="84">
        <f>VLOOKUP($B$33,土木費率,3)</f>
        <v>0</v>
      </c>
      <c r="E22" s="85">
        <f>VLOOKUP($B$33,土木費率,8)</f>
        <v>0</v>
      </c>
      <c r="H22" s="8"/>
      <c r="I22" s="3" t="s">
        <v>146</v>
      </c>
      <c r="J22" s="84">
        <v>349.9</v>
      </c>
      <c r="K22" s="85">
        <v>216</v>
      </c>
      <c r="N22" s="62">
        <v>7</v>
      </c>
      <c r="O22" s="342"/>
      <c r="P22" s="343"/>
      <c r="Q22" s="344"/>
      <c r="R22" s="344"/>
      <c r="S22" s="344"/>
      <c r="T22" s="344"/>
      <c r="U22" s="344"/>
      <c r="V22" s="553">
        <f t="shared" si="0"/>
        <v>0</v>
      </c>
      <c r="AB22" s="114"/>
      <c r="AC22" s="114"/>
    </row>
    <row r="23" spans="2:32" ht="15" customHeight="1" x14ac:dyDescent="0.15">
      <c r="B23" s="9"/>
      <c r="C23" s="3" t="s">
        <v>147</v>
      </c>
      <c r="D23" s="136">
        <f>VLOOKUP($B$33,土木費率,4)</f>
        <v>0</v>
      </c>
      <c r="E23" s="137">
        <f>VLOOKUP($B$33,土木費率,9)</f>
        <v>0</v>
      </c>
      <c r="H23" s="8"/>
      <c r="I23" s="3" t="s">
        <v>147</v>
      </c>
      <c r="J23" s="136">
        <v>-0.19639999999999999</v>
      </c>
      <c r="K23" s="137">
        <v>-0.1137</v>
      </c>
      <c r="N23" s="62">
        <v>8</v>
      </c>
      <c r="O23" s="342"/>
      <c r="P23" s="343"/>
      <c r="Q23" s="344"/>
      <c r="R23" s="344"/>
      <c r="S23" s="344"/>
      <c r="T23" s="344"/>
      <c r="U23" s="344"/>
      <c r="V23" s="345"/>
      <c r="AB23" s="114"/>
      <c r="AC23" s="114"/>
    </row>
    <row r="24" spans="2:32" ht="15" customHeight="1" x14ac:dyDescent="0.15">
      <c r="N24" s="62">
        <v>9</v>
      </c>
      <c r="O24" s="342"/>
      <c r="P24" s="343"/>
      <c r="Q24" s="344"/>
      <c r="R24" s="344"/>
      <c r="S24" s="344"/>
      <c r="T24" s="344"/>
      <c r="U24" s="344"/>
      <c r="V24" s="345"/>
      <c r="AB24" s="114"/>
      <c r="AC24" s="114"/>
    </row>
    <row r="25" spans="2:32" ht="15" customHeight="1" thickBot="1" x14ac:dyDescent="0.2">
      <c r="B25" t="s">
        <v>148</v>
      </c>
      <c r="F25" t="s">
        <v>149</v>
      </c>
      <c r="N25" s="66">
        <v>10</v>
      </c>
      <c r="O25" s="400"/>
      <c r="P25" s="554"/>
      <c r="Q25" s="555"/>
      <c r="R25" s="555"/>
      <c r="S25" s="555"/>
      <c r="T25" s="555"/>
      <c r="U25" s="555"/>
      <c r="V25" s="556"/>
      <c r="AB25" s="114"/>
      <c r="AC25" s="114"/>
    </row>
    <row r="26" spans="2:32" ht="15" customHeight="1" thickTop="1" x14ac:dyDescent="0.15">
      <c r="B26" s="610" t="s">
        <v>759</v>
      </c>
      <c r="E26" s="1"/>
      <c r="F26" s="14" t="s">
        <v>151</v>
      </c>
      <c r="G26" s="15"/>
      <c r="H26" s="15"/>
      <c r="I26" s="15"/>
      <c r="J26" s="87" t="s">
        <v>140</v>
      </c>
      <c r="K26" s="88" t="s">
        <v>141</v>
      </c>
      <c r="N26" s="49"/>
      <c r="O26" s="25"/>
      <c r="P26" s="21"/>
      <c r="Q26" s="359"/>
      <c r="R26" s="359"/>
      <c r="S26" s="557"/>
      <c r="T26" s="557"/>
      <c r="U26" s="557"/>
      <c r="V26" s="558"/>
      <c r="AB26" s="114"/>
      <c r="AC26" s="114"/>
    </row>
    <row r="27" spans="2:32" ht="15" customHeight="1" thickBot="1" x14ac:dyDescent="0.2">
      <c r="B27" s="82"/>
      <c r="C27" s="93" t="s">
        <v>152</v>
      </c>
      <c r="D27" s="94">
        <f>VLOOKUP($B$33,一般費率,2)</f>
        <v>22.72</v>
      </c>
      <c r="F27" s="9">
        <v>1</v>
      </c>
      <c r="G27" s="32" t="s">
        <v>153</v>
      </c>
      <c r="H27" s="78"/>
      <c r="I27" s="78"/>
      <c r="J27" s="666">
        <v>1.2</v>
      </c>
      <c r="K27" s="667">
        <v>1.1000000000000001</v>
      </c>
      <c r="N27" s="53" t="s">
        <v>102</v>
      </c>
      <c r="O27" s="54"/>
      <c r="P27" s="54"/>
      <c r="Q27" s="348" t="e">
        <f t="shared" ref="Q27:V27" si="1">SUM(Q16:Q25)</f>
        <v>#REF!</v>
      </c>
      <c r="R27" s="348">
        <f t="shared" si="1"/>
        <v>0</v>
      </c>
      <c r="S27" s="348">
        <f t="shared" si="1"/>
        <v>0</v>
      </c>
      <c r="T27" s="348">
        <f t="shared" si="1"/>
        <v>0</v>
      </c>
      <c r="U27" s="348">
        <f t="shared" si="1"/>
        <v>0</v>
      </c>
      <c r="V27" s="349" t="e">
        <f t="shared" si="1"/>
        <v>#REF!</v>
      </c>
      <c r="AB27" s="234">
        <f>SUM(AB17:AB20)</f>
        <v>0</v>
      </c>
      <c r="AC27" s="234">
        <f>SUM(AC17:AC20)</f>
        <v>0</v>
      </c>
      <c r="AD27">
        <f>SUM(AB27:AC27)</f>
        <v>0</v>
      </c>
    </row>
    <row r="28" spans="2:32" x14ac:dyDescent="0.15">
      <c r="B28" s="9"/>
      <c r="C28" s="81" t="s">
        <v>155</v>
      </c>
      <c r="D28" s="86">
        <f>VLOOKUP($B$33,一般費率,5)</f>
        <v>7.47</v>
      </c>
      <c r="F28" s="9">
        <v>2</v>
      </c>
      <c r="G28" s="32" t="s">
        <v>156</v>
      </c>
      <c r="H28" s="78"/>
      <c r="I28" s="78"/>
      <c r="J28" s="663">
        <v>1.3</v>
      </c>
      <c r="K28" s="665">
        <v>1</v>
      </c>
    </row>
    <row r="29" spans="2:32" ht="14.25" thickBot="1" x14ac:dyDescent="0.2">
      <c r="B29" s="9"/>
      <c r="C29" s="3" t="s">
        <v>146</v>
      </c>
      <c r="D29" s="85">
        <f>VLOOKUP($B$33,一般費率,3)</f>
        <v>-5.4897200000000002</v>
      </c>
      <c r="F29" s="9">
        <v>3</v>
      </c>
      <c r="G29" s="8" t="s">
        <v>157</v>
      </c>
      <c r="H29" s="32" t="s">
        <v>793</v>
      </c>
      <c r="I29" s="78"/>
      <c r="J29" s="663">
        <v>1.2</v>
      </c>
      <c r="K29" s="664">
        <v>1.1000000000000001</v>
      </c>
      <c r="N29" t="s">
        <v>159</v>
      </c>
    </row>
    <row r="30" spans="2:32" x14ac:dyDescent="0.15">
      <c r="B30" s="9"/>
      <c r="C30" s="3" t="s">
        <v>147</v>
      </c>
      <c r="D30" s="137">
        <f>VLOOKUP($B$33,一般費率,4)</f>
        <v>59.497700000000002</v>
      </c>
      <c r="F30" s="9">
        <v>4</v>
      </c>
      <c r="G30" s="8" t="s">
        <v>101</v>
      </c>
      <c r="H30" s="32" t="s">
        <v>160</v>
      </c>
      <c r="I30" s="78"/>
      <c r="J30" s="246" t="s">
        <v>794</v>
      </c>
      <c r="K30" s="247" t="s">
        <v>794</v>
      </c>
      <c r="N30" s="57"/>
      <c r="O30" s="47" t="s">
        <v>137</v>
      </c>
      <c r="P30" s="47" t="s">
        <v>161</v>
      </c>
      <c r="Q30" s="47" t="s">
        <v>716</v>
      </c>
      <c r="R30" s="47" t="s">
        <v>137</v>
      </c>
      <c r="S30" s="47" t="s">
        <v>717</v>
      </c>
      <c r="T30" s="47" t="s">
        <v>138</v>
      </c>
      <c r="U30" s="678" t="s">
        <v>771</v>
      </c>
      <c r="V30" s="679" t="s">
        <v>772</v>
      </c>
      <c r="X30" s="233"/>
    </row>
    <row r="31" spans="2:32" x14ac:dyDescent="0.15">
      <c r="N31" s="24" t="s">
        <v>97</v>
      </c>
      <c r="O31" s="6" t="s">
        <v>165</v>
      </c>
      <c r="P31" s="6" t="s">
        <v>718</v>
      </c>
      <c r="Q31" s="6" t="s">
        <v>719</v>
      </c>
      <c r="R31" s="117" t="s">
        <v>720</v>
      </c>
      <c r="S31" s="6" t="s">
        <v>721</v>
      </c>
      <c r="T31" s="6" t="s">
        <v>722</v>
      </c>
      <c r="U31" s="6" t="s">
        <v>723</v>
      </c>
      <c r="V31" s="69" t="s">
        <v>724</v>
      </c>
      <c r="Y31" s="100"/>
      <c r="AB31" s="34" t="s">
        <v>292</v>
      </c>
      <c r="AC31" s="34"/>
    </row>
    <row r="32" spans="2:32" ht="14.25" thickBot="1" x14ac:dyDescent="0.2">
      <c r="N32" s="60"/>
      <c r="O32" s="39" t="s">
        <v>172</v>
      </c>
      <c r="P32" s="39" t="s">
        <v>725</v>
      </c>
      <c r="Q32" s="39"/>
      <c r="R32" s="56" t="s">
        <v>726</v>
      </c>
      <c r="S32" s="39" t="s">
        <v>727</v>
      </c>
      <c r="T32" s="39" t="s">
        <v>728</v>
      </c>
      <c r="U32" s="39"/>
      <c r="V32" s="52"/>
      <c r="AB32" s="1" t="s">
        <v>289</v>
      </c>
      <c r="AC32" s="1" t="s">
        <v>291</v>
      </c>
      <c r="AD32" s="1" t="s">
        <v>288</v>
      </c>
      <c r="AF32" t="s">
        <v>294</v>
      </c>
    </row>
    <row r="33" spans="2:34" ht="15" customHeight="1" thickTop="1" x14ac:dyDescent="0.15">
      <c r="B33">
        <v>3101</v>
      </c>
      <c r="N33" s="62">
        <v>1</v>
      </c>
      <c r="O33" s="344">
        <f>SUM(Q16:T16)</f>
        <v>0</v>
      </c>
      <c r="P33" s="344">
        <f t="shared" ref="P33:P38" si="2">IF(O33=0,0,IF(AND(B$98&lt;&gt;0,D90&lt;=C$98),B90+D$98,B90))</f>
        <v>0</v>
      </c>
      <c r="Q33" s="351"/>
      <c r="R33" s="344">
        <f t="shared" ref="R33:R39" si="3">SUM(R16:S16,P33,Q33)</f>
        <v>0</v>
      </c>
      <c r="S33" s="353">
        <f t="shared" ref="S33:S39" si="4">IF(Q16+R33=0,0,Q16+R33)</f>
        <v>0</v>
      </c>
      <c r="T33" s="353">
        <f t="shared" ref="T33:T39" si="5">IF(S33=0,0,IF(AND(F$98&lt;&gt;0,H90&lt;=G$98),F90+H$98,F90))</f>
        <v>0</v>
      </c>
      <c r="U33" s="353"/>
      <c r="V33" s="618"/>
      <c r="AB33">
        <f>IF(AND(AG$38&lt;&gt;0,AH33&lt;=AG$39),AF33+AH$39,AF33)</f>
        <v>0</v>
      </c>
      <c r="AD33">
        <f>SUM(AB33:AC33,AC16)</f>
        <v>0</v>
      </c>
      <c r="AF33">
        <f>TRUNC(AD16*AE$69)</f>
        <v>0</v>
      </c>
      <c r="AG33">
        <f>AD16*AE$69-AF33</f>
        <v>0</v>
      </c>
      <c r="AH33">
        <f>RANK(AG33,$AG$33:$AG$37)</f>
        <v>1</v>
      </c>
    </row>
    <row r="34" spans="2:34" ht="15" customHeight="1" x14ac:dyDescent="0.15">
      <c r="N34" s="62">
        <v>2</v>
      </c>
      <c r="O34" s="344" t="e">
        <f>SUM(Q17:T17)</f>
        <v>#REF!</v>
      </c>
      <c r="P34" s="344" t="e">
        <f t="shared" si="2"/>
        <v>#REF!</v>
      </c>
      <c r="Q34" s="626"/>
      <c r="R34" s="344" t="e">
        <f t="shared" si="3"/>
        <v>#REF!</v>
      </c>
      <c r="S34" s="353" t="e">
        <f t="shared" si="4"/>
        <v>#REF!</v>
      </c>
      <c r="T34" s="353" t="e">
        <f>IF(S34=0,0,IF(AND(F$98&lt;&gt;0,H91&lt;=G$98),F91+H$98,F91))</f>
        <v>#REF!</v>
      </c>
      <c r="U34" s="683" t="e">
        <f>#REF!/1000</f>
        <v>#REF!</v>
      </c>
      <c r="V34" s="619">
        <v>3265</v>
      </c>
      <c r="X34" s="638">
        <v>27169</v>
      </c>
      <c r="AB34">
        <f>IF(AND(AG$38&lt;&gt;0,AH34&lt;=AG$39),AF34+AH$39,AF34)</f>
        <v>0</v>
      </c>
      <c r="AC34" s="114">
        <v>0</v>
      </c>
      <c r="AD34">
        <f>SUM(AB34:AC34,AC17)</f>
        <v>0</v>
      </c>
      <c r="AF34">
        <f>TRUNC(AD17*AE$69)</f>
        <v>0</v>
      </c>
      <c r="AG34">
        <f>AD17*AE$69-AF34</f>
        <v>0</v>
      </c>
      <c r="AH34">
        <f>RANK(AG34,$AG$33:$AG$37)</f>
        <v>1</v>
      </c>
    </row>
    <row r="35" spans="2:34" ht="15" customHeight="1" x14ac:dyDescent="0.15">
      <c r="C35" t="s">
        <v>175</v>
      </c>
      <c r="G35" s="100" t="s">
        <v>176</v>
      </c>
      <c r="H35" t="s">
        <v>177</v>
      </c>
      <c r="N35" s="62">
        <v>3</v>
      </c>
      <c r="O35" s="344" t="e">
        <f t="shared" ref="O35:O42" si="6">SUM(Q18:T18)</f>
        <v>#REF!</v>
      </c>
      <c r="P35" s="344" t="e">
        <f>IF(O35=0,0,IF(AND(B$98&lt;&gt;0,D92&lt;=C$98),B92+D$98,B92))</f>
        <v>#REF!</v>
      </c>
      <c r="Q35" s="351"/>
      <c r="R35" s="344" t="e">
        <f t="shared" si="3"/>
        <v>#REF!</v>
      </c>
      <c r="S35" s="353" t="e">
        <f t="shared" si="4"/>
        <v>#REF!</v>
      </c>
      <c r="T35" s="353" t="e">
        <f>IF(S35=0,0,IF(AND(F$98&lt;&gt;0,H92&lt;=G$98),F92+H$98,F92))</f>
        <v>#REF!</v>
      </c>
      <c r="U35" s="683" t="e">
        <f>#REF!/1000</f>
        <v>#REF!</v>
      </c>
      <c r="V35" s="619">
        <v>5432</v>
      </c>
      <c r="Y35" s="100"/>
      <c r="AB35">
        <f>IF(AND(AG$38&lt;&gt;0,AH35&lt;=AG$39),AF35+AH$39,AF35)</f>
        <v>0</v>
      </c>
      <c r="AD35">
        <f>SUM(AB35:AC35,AC18)</f>
        <v>0</v>
      </c>
      <c r="AF35">
        <f>TRUNC(AD18*AE$69)</f>
        <v>0</v>
      </c>
      <c r="AG35">
        <f>AD18*AE$69-AF35</f>
        <v>0</v>
      </c>
      <c r="AH35">
        <f>RANK(AG35,$AG$33:$AG$37)</f>
        <v>1</v>
      </c>
    </row>
    <row r="36" spans="2:34" ht="15" customHeight="1" x14ac:dyDescent="0.15">
      <c r="C36" s="1" t="s">
        <v>178</v>
      </c>
      <c r="D36" s="1" t="s">
        <v>146</v>
      </c>
      <c r="E36" s="1" t="s">
        <v>147</v>
      </c>
      <c r="F36" s="1" t="s">
        <v>179</v>
      </c>
      <c r="H36" s="1" t="s">
        <v>178</v>
      </c>
      <c r="I36" s="1" t="s">
        <v>146</v>
      </c>
      <c r="J36" s="1" t="s">
        <v>147</v>
      </c>
      <c r="K36" s="1" t="s">
        <v>179</v>
      </c>
      <c r="N36" s="62">
        <v>4</v>
      </c>
      <c r="O36" s="344" t="e">
        <f t="shared" si="6"/>
        <v>#REF!</v>
      </c>
      <c r="P36" s="344" t="e">
        <f t="shared" si="2"/>
        <v>#REF!</v>
      </c>
      <c r="Q36" s="351"/>
      <c r="R36" s="344" t="e">
        <f t="shared" si="3"/>
        <v>#REF!</v>
      </c>
      <c r="S36" s="353" t="e">
        <f t="shared" si="4"/>
        <v>#REF!</v>
      </c>
      <c r="T36" s="353" t="e">
        <f t="shared" si="5"/>
        <v>#REF!</v>
      </c>
      <c r="U36" s="683" t="e">
        <f>#REF!/1000</f>
        <v>#REF!</v>
      </c>
      <c r="V36" s="619">
        <v>11414</v>
      </c>
      <c r="Y36" s="100"/>
      <c r="AB36">
        <f>IF(AND(AG$38&lt;&gt;0,AH36&lt;=AG$39),AF36+AH$39,AF36)</f>
        <v>0</v>
      </c>
      <c r="AD36">
        <f>SUM(AB36:AC36,AC19)</f>
        <v>0</v>
      </c>
      <c r="AF36">
        <f>TRUNC(AD19*AE$69)</f>
        <v>0</v>
      </c>
      <c r="AG36">
        <f>AD19*AE$69-AF36</f>
        <v>0</v>
      </c>
      <c r="AH36">
        <f>RANK(AG36,$AG$33:$AG$37)</f>
        <v>1</v>
      </c>
    </row>
    <row r="37" spans="2:34" ht="15" customHeight="1" x14ac:dyDescent="0.15">
      <c r="B37" s="122"/>
      <c r="C37" s="123"/>
      <c r="D37" s="124"/>
      <c r="E37" s="125"/>
      <c r="F37" s="123"/>
      <c r="G37" s="131"/>
      <c r="H37" s="123"/>
      <c r="I37" s="124"/>
      <c r="J37" s="125"/>
      <c r="K37" s="126"/>
      <c r="N37" s="260">
        <v>5</v>
      </c>
      <c r="O37" s="559" t="e">
        <f t="shared" si="6"/>
        <v>#REF!</v>
      </c>
      <c r="P37" s="559" t="e">
        <f t="shared" si="2"/>
        <v>#REF!</v>
      </c>
      <c r="Q37" s="560"/>
      <c r="R37" s="559" t="e">
        <f t="shared" si="3"/>
        <v>#REF!</v>
      </c>
      <c r="S37" s="561" t="e">
        <f t="shared" si="4"/>
        <v>#REF!</v>
      </c>
      <c r="T37" s="561" t="e">
        <f t="shared" si="5"/>
        <v>#REF!</v>
      </c>
      <c r="U37" s="683" t="e">
        <f>#REF!/1000</f>
        <v>#REF!</v>
      </c>
      <c r="V37" s="690">
        <v>6468</v>
      </c>
      <c r="AB37">
        <f>IF(AND(AG$38&lt;&gt;0,AH37&lt;=AG$39),AF37+AH$39,AF37)</f>
        <v>0</v>
      </c>
      <c r="AD37">
        <f>SUM(AB37:AC37,AC20)</f>
        <v>0</v>
      </c>
      <c r="AF37">
        <f>TRUNC(AD20*AE$69)</f>
        <v>0</v>
      </c>
      <c r="AG37">
        <f>AD20*AE$69-AF37</f>
        <v>0</v>
      </c>
      <c r="AH37">
        <f>RANK(AG37,$AG$33:$AG$37)</f>
        <v>1</v>
      </c>
    </row>
    <row r="38" spans="2:34" ht="15" customHeight="1" x14ac:dyDescent="0.15">
      <c r="B38" s="420"/>
      <c r="C38" s="450"/>
      <c r="D38" s="451"/>
      <c r="E38" s="562"/>
      <c r="F38" s="450"/>
      <c r="G38" s="449"/>
      <c r="H38" s="450"/>
      <c r="I38" s="451"/>
      <c r="J38" s="562"/>
      <c r="K38" s="563"/>
      <c r="N38" s="62">
        <v>6</v>
      </c>
      <c r="O38" s="344" t="e">
        <f t="shared" si="6"/>
        <v>#REF!</v>
      </c>
      <c r="P38" s="559" t="e">
        <f t="shared" si="2"/>
        <v>#REF!</v>
      </c>
      <c r="Q38" s="560"/>
      <c r="R38" s="559" t="e">
        <f t="shared" si="3"/>
        <v>#REF!</v>
      </c>
      <c r="S38" s="561" t="e">
        <f t="shared" si="4"/>
        <v>#REF!</v>
      </c>
      <c r="T38" s="561" t="e">
        <f t="shared" si="5"/>
        <v>#REF!</v>
      </c>
      <c r="U38" s="683" t="e">
        <f>#REF!/1000</f>
        <v>#REF!</v>
      </c>
      <c r="V38" s="619">
        <v>13042</v>
      </c>
      <c r="X38" t="s">
        <v>69</v>
      </c>
      <c r="AF38" s="100" t="s">
        <v>290</v>
      </c>
      <c r="AG38" s="238">
        <f>AB44-SUM(AF33:AF37)</f>
        <v>0</v>
      </c>
    </row>
    <row r="39" spans="2:34" ht="15" customHeight="1" x14ac:dyDescent="0.15">
      <c r="B39" s="421"/>
      <c r="C39" s="21"/>
      <c r="D39" s="21"/>
      <c r="E39" s="21"/>
      <c r="F39" s="21"/>
      <c r="G39" s="564"/>
      <c r="H39" s="450"/>
      <c r="I39" s="451"/>
      <c r="J39" s="21"/>
      <c r="K39" s="96"/>
      <c r="N39" s="62">
        <v>7</v>
      </c>
      <c r="O39" s="344">
        <f t="shared" si="6"/>
        <v>0</v>
      </c>
      <c r="P39" s="559">
        <f>IF(O39=0,0,IF(AND(B$98&lt;&gt;0,D96&lt;=C$98),B96+D$98,B96))</f>
        <v>0</v>
      </c>
      <c r="Q39" s="560"/>
      <c r="R39" s="559">
        <f t="shared" si="3"/>
        <v>0</v>
      </c>
      <c r="S39" s="561">
        <f t="shared" si="4"/>
        <v>0</v>
      </c>
      <c r="T39" s="561">
        <f t="shared" si="5"/>
        <v>0</v>
      </c>
      <c r="U39" s="683"/>
      <c r="V39" s="619"/>
      <c r="Y39" s="100" t="s">
        <v>320</v>
      </c>
      <c r="Z39" t="e">
        <f>Z43-Y12</f>
        <v>#REF!</v>
      </c>
      <c r="AG39" s="238">
        <f>ABS(AG38)</f>
        <v>0</v>
      </c>
      <c r="AH39" s="238">
        <f>IF(AG38=0,0,AG38/AG39)</f>
        <v>0</v>
      </c>
    </row>
    <row r="40" spans="2:34" ht="15" customHeight="1" x14ac:dyDescent="0.15">
      <c r="B40" s="421"/>
      <c r="C40" s="450"/>
      <c r="D40" s="451"/>
      <c r="E40" s="562"/>
      <c r="F40" s="450"/>
      <c r="G40" s="449"/>
      <c r="H40" s="450"/>
      <c r="I40" s="451"/>
      <c r="J40" s="562"/>
      <c r="K40" s="563"/>
      <c r="N40" s="62">
        <v>8</v>
      </c>
      <c r="O40" s="344">
        <f t="shared" si="6"/>
        <v>0</v>
      </c>
      <c r="P40" s="353"/>
      <c r="Q40" s="344"/>
      <c r="R40" s="344"/>
      <c r="S40" s="353"/>
      <c r="T40" s="353"/>
      <c r="U40" s="353"/>
      <c r="V40" s="619"/>
      <c r="Y40" s="100" t="s">
        <v>319</v>
      </c>
      <c r="Z40">
        <f>Z44-Y13</f>
        <v>-406</v>
      </c>
    </row>
    <row r="41" spans="2:34" ht="15" customHeight="1" x14ac:dyDescent="0.15">
      <c r="B41" s="420"/>
      <c r="C41" s="21"/>
      <c r="D41" s="21"/>
      <c r="E41" s="21"/>
      <c r="F41" s="21"/>
      <c r="G41" s="564"/>
      <c r="H41" s="450"/>
      <c r="I41" s="451"/>
      <c r="J41" s="21"/>
      <c r="K41" s="96"/>
      <c r="N41" s="62">
        <v>9</v>
      </c>
      <c r="O41" s="344">
        <f t="shared" si="6"/>
        <v>0</v>
      </c>
      <c r="P41" s="344"/>
      <c r="Q41" s="344"/>
      <c r="R41" s="344"/>
      <c r="S41" s="353"/>
      <c r="T41" s="353"/>
      <c r="U41" s="353"/>
      <c r="V41" s="619"/>
    </row>
    <row r="42" spans="2:34" ht="15" customHeight="1" thickBot="1" x14ac:dyDescent="0.2">
      <c r="B42" s="565"/>
      <c r="C42" s="3"/>
      <c r="D42" s="3"/>
      <c r="E42" s="3"/>
      <c r="F42" s="3"/>
      <c r="G42" s="231"/>
      <c r="H42" s="127"/>
      <c r="I42" s="129"/>
      <c r="J42" s="3"/>
      <c r="K42" s="80"/>
      <c r="N42" s="66">
        <v>10</v>
      </c>
      <c r="O42" s="555">
        <f t="shared" si="6"/>
        <v>0</v>
      </c>
      <c r="P42" s="555"/>
      <c r="Q42" s="555"/>
      <c r="R42" s="555"/>
      <c r="S42" s="566"/>
      <c r="T42" s="566"/>
      <c r="U42" s="566"/>
      <c r="V42" s="691"/>
      <c r="X42" t="s">
        <v>321</v>
      </c>
    </row>
    <row r="43" spans="2:34" ht="15" customHeight="1" thickTop="1" x14ac:dyDescent="0.15">
      <c r="N43" s="23"/>
      <c r="O43" s="359"/>
      <c r="P43" s="359"/>
      <c r="Q43" s="567"/>
      <c r="R43" s="359"/>
      <c r="S43" s="359"/>
      <c r="T43" s="359"/>
      <c r="U43" s="359"/>
      <c r="V43" s="620"/>
      <c r="Y43" s="100" t="s">
        <v>320</v>
      </c>
      <c r="Z43" t="e">
        <f>SUM(Z51,Z57,Z59)</f>
        <v>#REF!</v>
      </c>
    </row>
    <row r="44" spans="2:34" ht="15" customHeight="1" thickBot="1" x14ac:dyDescent="0.2">
      <c r="C44" t="s">
        <v>753</v>
      </c>
      <c r="G44" s="100" t="s">
        <v>176</v>
      </c>
      <c r="H44" t="s">
        <v>754</v>
      </c>
      <c r="N44" s="68" t="s">
        <v>102</v>
      </c>
      <c r="O44" s="629" t="e">
        <f>IF(SUM(O33:O42)=0,0,SUM(O33:O42))</f>
        <v>#REF!</v>
      </c>
      <c r="P44" s="348" t="e">
        <f>TRUNC(O44*S67)</f>
        <v>#REF!</v>
      </c>
      <c r="Q44" s="357">
        <f>SUM(Q33:Q42)</f>
        <v>0</v>
      </c>
      <c r="R44" s="348" t="e">
        <f>SUM(R27:S27,Z109,P44,Q44)</f>
        <v>#REF!</v>
      </c>
      <c r="S44" s="630" t="e">
        <f>IF(+Q27+R44=0,0,+Q27+R44)</f>
        <v>#REF!</v>
      </c>
      <c r="T44" s="357" t="e">
        <f>ROUNDDOWN(S44*S69,0)</f>
        <v>#REF!</v>
      </c>
      <c r="U44" s="677" t="e">
        <f>SUM(U33:U42)</f>
        <v>#REF!</v>
      </c>
      <c r="V44" s="621">
        <f>SUM(V33:V42)</f>
        <v>39621</v>
      </c>
      <c r="Y44" s="100" t="s">
        <v>319</v>
      </c>
      <c r="Z44">
        <f>Z53</f>
        <v>0</v>
      </c>
      <c r="AB44">
        <f>TRUNC(AD27*AE69)</f>
        <v>0</v>
      </c>
      <c r="AC44" s="234">
        <f>SUM(AC34:AC37)</f>
        <v>0</v>
      </c>
      <c r="AD44" s="234">
        <f>SUM(AD34:AD37)</f>
        <v>0</v>
      </c>
    </row>
    <row r="45" spans="2:34" x14ac:dyDescent="0.15">
      <c r="C45" s="1" t="s">
        <v>178</v>
      </c>
      <c r="D45" s="1" t="s">
        <v>146</v>
      </c>
      <c r="E45" s="1" t="s">
        <v>147</v>
      </c>
      <c r="F45" s="1" t="s">
        <v>179</v>
      </c>
      <c r="H45" s="1" t="s">
        <v>178</v>
      </c>
      <c r="I45" s="1" t="s">
        <v>146</v>
      </c>
      <c r="J45" s="1" t="s">
        <v>147</v>
      </c>
      <c r="K45" s="1" t="s">
        <v>179</v>
      </c>
    </row>
    <row r="46" spans="2:34" ht="14.25" thickBot="1" x14ac:dyDescent="0.2">
      <c r="B46" s="5">
        <v>0</v>
      </c>
      <c r="C46" s="2"/>
      <c r="D46" s="2"/>
      <c r="E46" s="2"/>
      <c r="F46" s="2"/>
      <c r="G46" s="133"/>
      <c r="H46" s="2"/>
      <c r="I46" s="2"/>
      <c r="J46" s="2"/>
      <c r="K46" s="95"/>
      <c r="N46" t="s">
        <v>180</v>
      </c>
    </row>
    <row r="47" spans="2:34" x14ac:dyDescent="0.15">
      <c r="B47" s="10">
        <v>3101</v>
      </c>
      <c r="C47" s="422">
        <v>18.7</v>
      </c>
      <c r="D47" s="423">
        <v>349.9</v>
      </c>
      <c r="E47" s="424">
        <v>-0.19639999999999999</v>
      </c>
      <c r="F47" s="422">
        <v>5.98</v>
      </c>
      <c r="G47" s="132"/>
      <c r="H47" s="422">
        <v>39.630000000000003</v>
      </c>
      <c r="I47" s="423">
        <v>216</v>
      </c>
      <c r="J47" s="424">
        <v>-0.1137</v>
      </c>
      <c r="K47" s="426">
        <v>20.47</v>
      </c>
      <c r="N47" s="57"/>
      <c r="O47" s="680" t="s">
        <v>760</v>
      </c>
      <c r="P47" s="680" t="s">
        <v>760</v>
      </c>
      <c r="Q47" s="680" t="s">
        <v>766</v>
      </c>
      <c r="R47" s="680" t="s">
        <v>761</v>
      </c>
      <c r="S47" s="47" t="s">
        <v>139</v>
      </c>
      <c r="T47" s="58" t="s">
        <v>790</v>
      </c>
      <c r="U47" s="20"/>
      <c r="V47" s="20"/>
      <c r="X47" s="230" t="s">
        <v>315</v>
      </c>
      <c r="Y47" s="270" t="s">
        <v>317</v>
      </c>
      <c r="Z47" s="270"/>
    </row>
    <row r="48" spans="2:34" x14ac:dyDescent="0.15">
      <c r="B48" s="10">
        <f>B39</f>
        <v>0</v>
      </c>
      <c r="C48" s="450"/>
      <c r="D48" s="450"/>
      <c r="E48" s="562"/>
      <c r="F48" s="450"/>
      <c r="G48" s="132"/>
      <c r="H48" s="450"/>
      <c r="I48" s="450"/>
      <c r="J48" s="562"/>
      <c r="K48" s="563"/>
      <c r="N48" s="24" t="s">
        <v>97</v>
      </c>
      <c r="O48" s="681" t="s">
        <v>729</v>
      </c>
      <c r="P48" s="681" t="s">
        <v>764</v>
      </c>
      <c r="Q48" s="681" t="s">
        <v>765</v>
      </c>
      <c r="R48" s="681" t="s">
        <v>768</v>
      </c>
      <c r="S48" s="6" t="s">
        <v>730</v>
      </c>
      <c r="T48" s="69" t="s">
        <v>731</v>
      </c>
      <c r="U48" s="20"/>
      <c r="V48" s="20"/>
      <c r="X48" s="230" t="s">
        <v>314</v>
      </c>
      <c r="Y48" s="230" t="s">
        <v>314</v>
      </c>
      <c r="Z48" s="230" t="s">
        <v>318</v>
      </c>
    </row>
    <row r="49" spans="2:39" ht="14.25" thickBot="1" x14ac:dyDescent="0.2">
      <c r="B49" s="10">
        <f>B40</f>
        <v>0</v>
      </c>
      <c r="C49" s="450"/>
      <c r="D49" s="450"/>
      <c r="E49" s="562"/>
      <c r="F49" s="450"/>
      <c r="G49" s="132"/>
      <c r="H49" s="450"/>
      <c r="I49" s="450"/>
      <c r="J49" s="562"/>
      <c r="K49" s="563"/>
      <c r="N49" s="60"/>
      <c r="O49" s="568" t="s">
        <v>762</v>
      </c>
      <c r="P49" s="568" t="s">
        <v>763</v>
      </c>
      <c r="Q49" s="568" t="s">
        <v>767</v>
      </c>
      <c r="R49" s="568" t="s">
        <v>769</v>
      </c>
      <c r="S49" s="39" t="s">
        <v>732</v>
      </c>
      <c r="T49" s="70" t="s">
        <v>733</v>
      </c>
      <c r="U49" s="20"/>
      <c r="V49" s="20"/>
      <c r="X49" s="230" t="s">
        <v>316</v>
      </c>
      <c r="Y49" s="230"/>
      <c r="Z49" s="230"/>
      <c r="AB49" t="s">
        <v>138</v>
      </c>
      <c r="AC49" t="s">
        <v>734</v>
      </c>
      <c r="AD49" t="s">
        <v>139</v>
      </c>
      <c r="AF49" t="s">
        <v>293</v>
      </c>
      <c r="AM49" t="s">
        <v>783</v>
      </c>
    </row>
    <row r="50" spans="2:39" ht="15" customHeight="1" thickTop="1" thickBot="1" x14ac:dyDescent="0.2">
      <c r="B50" s="10">
        <f>B41</f>
        <v>0</v>
      </c>
      <c r="C50" s="450"/>
      <c r="D50" s="450"/>
      <c r="E50" s="562"/>
      <c r="F50" s="450"/>
      <c r="G50" s="132"/>
      <c r="H50" s="450"/>
      <c r="I50" s="450"/>
      <c r="J50" s="562"/>
      <c r="K50" s="563"/>
      <c r="N50" s="72">
        <v>1</v>
      </c>
      <c r="O50" s="569">
        <f>SUM(V33)</f>
        <v>0</v>
      </c>
      <c r="P50" s="569">
        <f t="shared" ref="P50:P56" si="7">IF(O50=0,0,IF(AND(J$98&lt;&gt;0,L90&lt;=K$98),J90+L$98,J90))</f>
        <v>0</v>
      </c>
      <c r="Q50" s="622">
        <f>SUM(U33,P50)</f>
        <v>0</v>
      </c>
      <c r="R50" s="569">
        <f>SUM(S33:T33,Q50)</f>
        <v>0</v>
      </c>
      <c r="S50" s="354">
        <f>SUM(X55:Y55)</f>
        <v>0</v>
      </c>
      <c r="T50" s="653">
        <f>SUM(R50:S50)</f>
        <v>0</v>
      </c>
      <c r="U50" s="650"/>
      <c r="V50" s="650"/>
      <c r="X50" s="271">
        <f>IF(R8=0,0,IF(AND(X70&lt;&gt;0,Z63&lt;=Y$71),X63+Z$71,X63))</f>
        <v>0</v>
      </c>
      <c r="Y50">
        <f t="shared" ref="Y50" si="8">IF(R117=0,0,IF(AND(B$116&lt;&gt;0,D103&lt;=C$116),B103+D$116,B103))</f>
        <v>0</v>
      </c>
      <c r="Z50" s="114">
        <f t="shared" ref="Z50" si="9">R117+Y50</f>
        <v>0</v>
      </c>
      <c r="AB50">
        <f>IF(AND(AG$55&lt;&gt;0,AH50&lt;=AG$56),AF50+AH$56,AF50)</f>
        <v>0</v>
      </c>
      <c r="AC50">
        <f>AB16+AD33+AB50</f>
        <v>0</v>
      </c>
      <c r="AD50">
        <f>IF(AND(AG$72&lt;&gt;0,AH62&lt;=AG$73),AF62+AH$73,AF62)</f>
        <v>0</v>
      </c>
      <c r="AE50">
        <f>SUM(AC50:AD50)</f>
        <v>0</v>
      </c>
      <c r="AF50">
        <f>TRUNC((AB16+AD33)*AE71)</f>
        <v>0</v>
      </c>
      <c r="AG50">
        <f>(AB16+AD33)*AE71-AF50</f>
        <v>0</v>
      </c>
      <c r="AH50">
        <f>RANK(AG50,$AG50:$AG54)</f>
        <v>1</v>
      </c>
    </row>
    <row r="51" spans="2:39" ht="15" customHeight="1" thickBot="1" x14ac:dyDescent="0.2">
      <c r="B51" s="9">
        <f>B42</f>
        <v>0</v>
      </c>
      <c r="C51" s="127"/>
      <c r="D51" s="127"/>
      <c r="E51" s="130"/>
      <c r="F51" s="127"/>
      <c r="G51" s="134"/>
      <c r="H51" s="127"/>
      <c r="I51" s="127"/>
      <c r="J51" s="130"/>
      <c r="K51" s="128"/>
      <c r="N51" s="72">
        <v>2</v>
      </c>
      <c r="O51" s="571">
        <f>SUM(V34)</f>
        <v>3265</v>
      </c>
      <c r="P51" s="571">
        <f t="shared" si="7"/>
        <v>364</v>
      </c>
      <c r="Q51" s="570" t="e">
        <f>SUM(U34,P51)</f>
        <v>#REF!</v>
      </c>
      <c r="R51" s="571" t="e">
        <f>SUM(S34:T34,Q51)</f>
        <v>#REF!</v>
      </c>
      <c r="S51" s="354" t="e">
        <f>SUM(X56:Y56)</f>
        <v>#REF!</v>
      </c>
      <c r="T51" s="653" t="e">
        <f>SUM(R51:S51)</f>
        <v>#REF!</v>
      </c>
      <c r="U51" s="650"/>
      <c r="V51" s="650"/>
      <c r="X51" s="271">
        <f>IF(R9=0,0,IF(AND(X71&lt;&gt;0,Z65&lt;=Y$71),X64+Z$71,X64))</f>
        <v>0</v>
      </c>
      <c r="Y51">
        <f t="shared" ref="Y51:Y59" si="10">IF(R118=0,0,IF(AND(B$116&lt;&gt;0,D104&lt;=C$116),B104+D$116,B104))</f>
        <v>0</v>
      </c>
      <c r="Z51" s="114">
        <f t="shared" ref="Z51:Z59" si="11">R118+Y51</f>
        <v>0</v>
      </c>
      <c r="AB51">
        <f>IF(AND(AG$55&lt;&gt;0,AH51&lt;=AG$56),AF51+AH$56,AF51)</f>
        <v>0</v>
      </c>
      <c r="AC51">
        <f>AB17+AD34+AB51</f>
        <v>0</v>
      </c>
      <c r="AD51">
        <f>IF(AND(AG$72&lt;&gt;0,AH63&lt;=AG$73),AF63+AH$73,AF63)</f>
        <v>0</v>
      </c>
      <c r="AE51">
        <f t="shared" ref="AE51:AE61" si="12">SUM(AC51:AD51)</f>
        <v>0</v>
      </c>
      <c r="AF51">
        <f>TRUNC((AB17+AD34)*AE71)</f>
        <v>0</v>
      </c>
      <c r="AG51">
        <f>(AB17+AD34)*AE71-AF51</f>
        <v>0</v>
      </c>
      <c r="AH51">
        <f>RANK(AG51,$AG50:$AG54)</f>
        <v>1</v>
      </c>
      <c r="AM51" s="647"/>
    </row>
    <row r="52" spans="2:39" ht="15" customHeight="1" x14ac:dyDescent="0.15">
      <c r="N52" s="72">
        <v>3</v>
      </c>
      <c r="O52" s="571">
        <f>SUM(V35)</f>
        <v>5432</v>
      </c>
      <c r="P52" s="571">
        <f t="shared" si="7"/>
        <v>606</v>
      </c>
      <c r="Q52" s="570" t="e">
        <f>SUM(U35,P52)</f>
        <v>#REF!</v>
      </c>
      <c r="R52" s="571" t="e">
        <f>SUM(S35:T35,Q52)</f>
        <v>#REF!</v>
      </c>
      <c r="S52" s="354" t="e">
        <f t="shared" ref="S52:S55" si="13">SUM(X57:Y57)</f>
        <v>#REF!</v>
      </c>
      <c r="T52" s="653" t="e">
        <f>SUM(R52:S52)</f>
        <v>#REF!</v>
      </c>
      <c r="U52" s="650"/>
      <c r="V52" s="650"/>
      <c r="X52" s="271">
        <f>IF(R10=0,0,IF(AND(X72&lt;&gt;0,#REF!&lt;=Y$71),X65+Z$71,X65))</f>
        <v>0</v>
      </c>
      <c r="Y52">
        <f t="shared" si="10"/>
        <v>0</v>
      </c>
      <c r="Z52" s="114">
        <f t="shared" si="11"/>
        <v>0</v>
      </c>
      <c r="AB52">
        <f>IF(AND(AG$55&lt;&gt;0,AH52&lt;=AG$56),AF52+AH$56,AF52)</f>
        <v>0</v>
      </c>
      <c r="AC52">
        <f>AB18+AD35+AB52</f>
        <v>0</v>
      </c>
      <c r="AD52">
        <f t="shared" ref="AD52:AD59" si="14">IF(AND(AG$72&lt;&gt;0,AH64&lt;=AG$73),AF64+AH$73,AF64)</f>
        <v>0</v>
      </c>
      <c r="AE52">
        <f t="shared" si="12"/>
        <v>0</v>
      </c>
      <c r="AF52">
        <f>TRUNC((AB18+AD35)*AE71)</f>
        <v>0</v>
      </c>
      <c r="AG52">
        <f>(AB18+AD35)*AE71-AF52</f>
        <v>0</v>
      </c>
      <c r="AH52">
        <f>RANK(AG52,$AG50:$AG54)</f>
        <v>1</v>
      </c>
    </row>
    <row r="53" spans="2:39" ht="15" customHeight="1" x14ac:dyDescent="0.15">
      <c r="C53" t="s">
        <v>755</v>
      </c>
      <c r="H53" t="s">
        <v>756</v>
      </c>
      <c r="N53" s="72">
        <v>4</v>
      </c>
      <c r="O53" s="571">
        <f>SUM(V36)</f>
        <v>11414</v>
      </c>
      <c r="P53" s="571">
        <f t="shared" si="7"/>
        <v>1274</v>
      </c>
      <c r="Q53" s="570" t="e">
        <f>SUM(U36,P53)</f>
        <v>#REF!</v>
      </c>
      <c r="R53" s="571" t="e">
        <f>SUM(S36:T36,Q53)</f>
        <v>#REF!</v>
      </c>
      <c r="S53" s="354" t="e">
        <f t="shared" si="13"/>
        <v>#REF!</v>
      </c>
      <c r="T53" s="653" t="e">
        <f>SUM(R53:S53)</f>
        <v>#REF!</v>
      </c>
      <c r="U53" s="650"/>
      <c r="V53" s="650"/>
      <c r="X53" s="271">
        <f>IF(R74=0,0,IF(AND(X73&lt;&gt;0,Z66&lt;=Y$71),X66+Z$71,X66))</f>
        <v>0</v>
      </c>
      <c r="Y53">
        <f t="shared" si="10"/>
        <v>0</v>
      </c>
      <c r="Z53" s="114">
        <f t="shared" si="11"/>
        <v>0</v>
      </c>
      <c r="AB53">
        <f>IF(AND(AG$55&lt;&gt;0,AH53&lt;=AG$56),AF53+AH$56,AF53)</f>
        <v>0</v>
      </c>
      <c r="AC53">
        <f>AB19+AD36+AB53</f>
        <v>0</v>
      </c>
      <c r="AD53">
        <f t="shared" si="14"/>
        <v>0</v>
      </c>
      <c r="AE53">
        <f t="shared" si="12"/>
        <v>0</v>
      </c>
      <c r="AF53">
        <f>TRUNC((AB19+AD36)*AE71)</f>
        <v>0</v>
      </c>
      <c r="AG53">
        <f>(AB19+AD36)*AE71-AF53</f>
        <v>0</v>
      </c>
      <c r="AH53">
        <f>RANK(AG53,$AG50:$AG54)</f>
        <v>1</v>
      </c>
    </row>
    <row r="54" spans="2:39" ht="15" customHeight="1" x14ac:dyDescent="0.15">
      <c r="C54" s="1" t="s">
        <v>178</v>
      </c>
      <c r="D54" s="1" t="s">
        <v>146</v>
      </c>
      <c r="E54" s="1" t="s">
        <v>147</v>
      </c>
      <c r="F54" s="1" t="s">
        <v>179</v>
      </c>
      <c r="H54" s="1" t="s">
        <v>178</v>
      </c>
      <c r="I54" s="1" t="s">
        <v>146</v>
      </c>
      <c r="J54" s="1" t="s">
        <v>147</v>
      </c>
      <c r="K54" s="1" t="s">
        <v>179</v>
      </c>
      <c r="N54" s="260">
        <v>5</v>
      </c>
      <c r="O54" s="573">
        <f>SUM(V37)</f>
        <v>6468</v>
      </c>
      <c r="P54" s="573">
        <f t="shared" si="7"/>
        <v>722</v>
      </c>
      <c r="Q54" s="623" t="e">
        <f>SUM(U37,P54)</f>
        <v>#REF!</v>
      </c>
      <c r="R54" s="573" t="e">
        <f>SUM(S37:T37,Q54)</f>
        <v>#REF!</v>
      </c>
      <c r="S54" s="574" t="e">
        <f t="shared" si="13"/>
        <v>#REF!</v>
      </c>
      <c r="T54" s="654" t="e">
        <f>SUM(R54:S54)</f>
        <v>#REF!</v>
      </c>
      <c r="U54" s="650"/>
      <c r="V54" s="650"/>
      <c r="X54" s="271">
        <f>IF(R75=0,0,IF(AND(X74&lt;&gt;0,Z67&lt;=Y$71),X67+Z$71,X67))</f>
        <v>0</v>
      </c>
      <c r="Y54">
        <f t="shared" si="10"/>
        <v>0</v>
      </c>
      <c r="Z54" s="114">
        <f t="shared" si="11"/>
        <v>0</v>
      </c>
      <c r="AB54">
        <f>IF(AND(AG$55&lt;&gt;0,AH54&lt;=AG$56),AF54+AH$56,AF54)</f>
        <v>0</v>
      </c>
      <c r="AC54">
        <f>AB20+AD37+AB54</f>
        <v>0</v>
      </c>
      <c r="AD54">
        <f t="shared" si="14"/>
        <v>0</v>
      </c>
      <c r="AE54">
        <f t="shared" si="12"/>
        <v>0</v>
      </c>
      <c r="AF54">
        <f>TRUNC((AB20+AD37)*AE71)</f>
        <v>0</v>
      </c>
      <c r="AG54">
        <f>(AB20+AD37)*AE71-AF54</f>
        <v>0</v>
      </c>
      <c r="AH54">
        <f>RANK(AG54,$AG50:$AG54)</f>
        <v>1</v>
      </c>
    </row>
    <row r="55" spans="2:39" ht="15" customHeight="1" x14ac:dyDescent="0.15">
      <c r="B55" s="5">
        <v>0</v>
      </c>
      <c r="C55" s="2"/>
      <c r="D55" s="2"/>
      <c r="E55" s="2"/>
      <c r="F55" s="95"/>
      <c r="G55" s="5">
        <v>0</v>
      </c>
      <c r="H55" s="2"/>
      <c r="I55" s="2"/>
      <c r="J55" s="2"/>
      <c r="K55" s="95"/>
      <c r="N55" s="62">
        <v>6</v>
      </c>
      <c r="O55" s="573">
        <f t="shared" ref="O55:O56" si="15">SUM(V38)</f>
        <v>13042</v>
      </c>
      <c r="P55" s="573">
        <f t="shared" si="7"/>
        <v>1455</v>
      </c>
      <c r="Q55" s="623" t="e">
        <f t="shared" ref="Q55:Q56" si="16">SUM(U38,P55)</f>
        <v>#REF!</v>
      </c>
      <c r="R55" s="573" t="e">
        <f t="shared" ref="R55:R56" si="17">SUM(S38:T38,Q55)</f>
        <v>#REF!</v>
      </c>
      <c r="S55" s="574" t="e">
        <f t="shared" si="13"/>
        <v>#REF!</v>
      </c>
      <c r="T55" s="654" t="e">
        <f t="shared" ref="T55:T56" si="18">SUM(R55:S55)</f>
        <v>#REF!</v>
      </c>
      <c r="U55" s="650"/>
      <c r="V55" s="650"/>
      <c r="X55" s="271">
        <f>IF(R8=0,0,IF(AND(X$71&lt;&gt;0,Z65&lt;=Y$71),X64+Z$71,X64))</f>
        <v>0</v>
      </c>
      <c r="Y55">
        <f t="shared" si="10"/>
        <v>0</v>
      </c>
      <c r="Z55" s="114">
        <f t="shared" si="11"/>
        <v>0</v>
      </c>
      <c r="AC55">
        <f>SUM(AB79,AH98,AB117:AC117)</f>
        <v>0</v>
      </c>
      <c r="AD55">
        <f t="shared" si="14"/>
        <v>0</v>
      </c>
      <c r="AE55">
        <f t="shared" si="12"/>
        <v>0</v>
      </c>
      <c r="AF55" s="100" t="s">
        <v>290</v>
      </c>
      <c r="AG55" s="238">
        <f>AB61-SUM(AF50:AF54)</f>
        <v>0</v>
      </c>
    </row>
    <row r="56" spans="2:39" ht="15" customHeight="1" x14ac:dyDescent="0.15">
      <c r="B56" s="10">
        <v>3101</v>
      </c>
      <c r="C56" s="422">
        <v>22.72</v>
      </c>
      <c r="D56" s="431">
        <v>-5.4897200000000002</v>
      </c>
      <c r="E56" s="431">
        <v>59.497700000000002</v>
      </c>
      <c r="F56" s="426">
        <v>7.47</v>
      </c>
      <c r="G56" s="10">
        <f>B38</f>
        <v>0</v>
      </c>
      <c r="H56" s="575">
        <v>18.22</v>
      </c>
      <c r="I56" s="613">
        <v>42380.2</v>
      </c>
      <c r="J56" s="424">
        <v>-0.47110000000000002</v>
      </c>
      <c r="K56" s="576">
        <v>5.21</v>
      </c>
      <c r="N56" s="72">
        <v>7</v>
      </c>
      <c r="O56" s="573">
        <f t="shared" si="15"/>
        <v>0</v>
      </c>
      <c r="P56" s="573">
        <f t="shared" si="7"/>
        <v>0</v>
      </c>
      <c r="Q56" s="623">
        <f t="shared" si="16"/>
        <v>0</v>
      </c>
      <c r="R56" s="573">
        <f t="shared" si="17"/>
        <v>0</v>
      </c>
      <c r="S56" s="574">
        <f t="shared" ref="S56" si="19">SUM(X61:Y61)</f>
        <v>0</v>
      </c>
      <c r="T56" s="654">
        <f t="shared" si="18"/>
        <v>0</v>
      </c>
      <c r="U56" s="608"/>
      <c r="V56" s="608"/>
      <c r="X56" s="271">
        <f>IF(R9=0,0,IF(AND(X$71&lt;&gt;0,#REF!&lt;=Y$71),X65+Z$71,X65))</f>
        <v>0</v>
      </c>
      <c r="Y56" t="e">
        <f t="shared" si="10"/>
        <v>#REF!</v>
      </c>
      <c r="Z56" s="577" t="e">
        <f t="shared" si="11"/>
        <v>#REF!</v>
      </c>
      <c r="AC56">
        <f>SUM(AB79,AH98,AB117:AC117)</f>
        <v>0</v>
      </c>
      <c r="AD56">
        <f t="shared" si="14"/>
        <v>0</v>
      </c>
      <c r="AE56">
        <f t="shared" si="12"/>
        <v>0</v>
      </c>
      <c r="AG56" s="238">
        <f>ABS(AG55)</f>
        <v>0</v>
      </c>
      <c r="AH56" s="238">
        <f>IF(AG55=0,0,AG55/AG56)</f>
        <v>0</v>
      </c>
    </row>
    <row r="57" spans="2:39" ht="15" customHeight="1" x14ac:dyDescent="0.15">
      <c r="B57" s="10">
        <f>B39</f>
        <v>0</v>
      </c>
      <c r="C57" s="21"/>
      <c r="D57" s="562"/>
      <c r="E57" s="578"/>
      <c r="F57" s="96"/>
      <c r="G57" s="10">
        <f>B39</f>
        <v>0</v>
      </c>
      <c r="H57" s="579"/>
      <c r="I57" s="579"/>
      <c r="J57" s="562"/>
      <c r="K57" s="580"/>
      <c r="N57" s="72">
        <v>8</v>
      </c>
      <c r="O57" s="572"/>
      <c r="P57" s="572"/>
      <c r="Q57" s="572"/>
      <c r="R57" s="572"/>
      <c r="S57" s="344"/>
      <c r="T57" s="654">
        <f t="shared" ref="T57" si="20">SUM(R57:S57)</f>
        <v>0</v>
      </c>
      <c r="U57" s="608"/>
      <c r="V57" s="608"/>
      <c r="X57" s="271">
        <f>IF(R10=0,0,IF(AND(X$71&lt;&gt;0,Z66&lt;=Y$71),X66+Z$71,X66))</f>
        <v>0</v>
      </c>
      <c r="Y57" t="e">
        <f t="shared" si="10"/>
        <v>#REF!</v>
      </c>
      <c r="Z57" s="114" t="e">
        <f t="shared" si="11"/>
        <v>#REF!</v>
      </c>
      <c r="AC57">
        <f>SUM(AB80,AH99,AB118:AC118)</f>
        <v>0</v>
      </c>
      <c r="AD57">
        <f t="shared" si="14"/>
        <v>0</v>
      </c>
      <c r="AE57">
        <f t="shared" si="12"/>
        <v>0</v>
      </c>
    </row>
    <row r="58" spans="2:39" ht="15" customHeight="1" x14ac:dyDescent="0.15">
      <c r="B58" s="10">
        <f>B40</f>
        <v>0</v>
      </c>
      <c r="C58" s="450"/>
      <c r="D58" s="562"/>
      <c r="E58" s="578"/>
      <c r="F58" s="563"/>
      <c r="G58" s="10"/>
      <c r="H58" s="579"/>
      <c r="I58" s="579"/>
      <c r="J58" s="562"/>
      <c r="K58" s="580"/>
      <c r="N58" s="72">
        <v>9</v>
      </c>
      <c r="O58" s="572"/>
      <c r="P58" s="572"/>
      <c r="Q58" s="572"/>
      <c r="R58" s="572"/>
      <c r="S58" s="344"/>
      <c r="T58" s="345"/>
      <c r="U58" s="608"/>
      <c r="V58" s="608"/>
      <c r="X58" s="271">
        <f>IF(R74=0,0,IF(AND(X$71&lt;&gt;0,Z67&lt;=Y$71),X67+Z$71,X67))</f>
        <v>0</v>
      </c>
      <c r="Y58" t="e">
        <f t="shared" si="10"/>
        <v>#REF!</v>
      </c>
      <c r="Z58" s="114" t="e">
        <f t="shared" si="11"/>
        <v>#REF!</v>
      </c>
      <c r="AC58">
        <f>SUM(AB81,AH100,AB119:AC119)</f>
        <v>0</v>
      </c>
      <c r="AD58">
        <f t="shared" si="14"/>
        <v>0</v>
      </c>
      <c r="AE58">
        <f t="shared" si="12"/>
        <v>0</v>
      </c>
    </row>
    <row r="59" spans="2:39" ht="15" customHeight="1" thickBot="1" x14ac:dyDescent="0.2">
      <c r="B59" s="10">
        <f>B41</f>
        <v>0</v>
      </c>
      <c r="C59" s="450"/>
      <c r="D59" s="562"/>
      <c r="E59" s="578"/>
      <c r="F59" s="563"/>
      <c r="G59" s="10"/>
      <c r="H59" s="579"/>
      <c r="I59" s="579"/>
      <c r="J59" s="562"/>
      <c r="K59" s="580"/>
      <c r="N59" s="73">
        <v>10</v>
      </c>
      <c r="O59" s="582"/>
      <c r="P59" s="582"/>
      <c r="Q59" s="581"/>
      <c r="R59" s="582"/>
      <c r="S59" s="555"/>
      <c r="T59" s="556"/>
      <c r="U59" s="608"/>
      <c r="V59" s="608"/>
      <c r="X59" s="271">
        <f>IF(R75=0,0,IF(AND(X$71&lt;&gt;0,Z68&lt;=Y$71),X68+Z$71,X68))</f>
        <v>0</v>
      </c>
      <c r="Y59" t="e">
        <f t="shared" si="10"/>
        <v>#REF!</v>
      </c>
      <c r="Z59" s="114" t="e">
        <f t="shared" si="11"/>
        <v>#REF!</v>
      </c>
      <c r="AC59">
        <f>SUM(AB82,AH101,AB120:AC120)</f>
        <v>0</v>
      </c>
      <c r="AD59">
        <f t="shared" si="14"/>
        <v>0</v>
      </c>
      <c r="AE59">
        <f t="shared" si="12"/>
        <v>0</v>
      </c>
    </row>
    <row r="60" spans="2:39" ht="15" customHeight="1" thickTop="1" x14ac:dyDescent="0.15">
      <c r="B60" s="9">
        <f>B42</f>
        <v>0</v>
      </c>
      <c r="C60" s="3"/>
      <c r="D60" s="130"/>
      <c r="E60" s="583"/>
      <c r="F60" s="80"/>
      <c r="G60" s="9">
        <f>B42</f>
        <v>0</v>
      </c>
      <c r="H60" s="584"/>
      <c r="I60" s="584"/>
      <c r="J60" s="584"/>
      <c r="K60" s="585"/>
      <c r="N60" s="23"/>
      <c r="O60" s="587"/>
      <c r="P60" s="587"/>
      <c r="Q60" s="586"/>
      <c r="R60" s="587"/>
      <c r="S60" s="359"/>
      <c r="T60" s="558"/>
      <c r="U60" s="651"/>
      <c r="V60" s="651"/>
      <c r="X60" s="271">
        <f t="shared" ref="X60:X61" si="21">IF(R76=0,0,IF(AND(X$71&lt;&gt;0,Z69&lt;=Y$71),X69+Z$71,X69))</f>
        <v>0</v>
      </c>
      <c r="Y60" t="e">
        <f>IF(R132=0,0,IF(AND(B$116&lt;&gt;0,D113&lt;=C$116),B113+D$116,B113))</f>
        <v>#REF!</v>
      </c>
      <c r="Z60" s="114" t="e">
        <f>R132+Y60</f>
        <v>#REF!</v>
      </c>
    </row>
    <row r="61" spans="2:39" ht="15" customHeight="1" thickBot="1" x14ac:dyDescent="0.2">
      <c r="N61" s="68" t="s">
        <v>102</v>
      </c>
      <c r="O61" s="631">
        <f>SUM(O50:O59)</f>
        <v>39621</v>
      </c>
      <c r="P61" s="588">
        <f>TRUNC(O61*S71)</f>
        <v>4421</v>
      </c>
      <c r="Q61" s="588" t="e">
        <f>SUM(Q50:Q59)</f>
        <v>#REF!</v>
      </c>
      <c r="R61" s="631" t="e">
        <f>IF(S44+T44+Q61=0,0,SUM(R50:R59))</f>
        <v>#REF!</v>
      </c>
      <c r="S61" s="357" t="e">
        <f>TRUNC(R61*S73)</f>
        <v>#REF!</v>
      </c>
      <c r="T61" s="655" t="e">
        <f>SUM(R61,S61)</f>
        <v>#REF!</v>
      </c>
      <c r="U61" s="652"/>
      <c r="V61" s="652"/>
      <c r="X61" s="271">
        <f t="shared" si="21"/>
        <v>0</v>
      </c>
      <c r="Y61">
        <f>IF(R133=0,0,IF(AND(B$116&lt;&gt;0,D114&lt;=C$116),B114+D$116,B114))</f>
        <v>0</v>
      </c>
      <c r="Z61" s="114">
        <f>R133+Y61</f>
        <v>0</v>
      </c>
      <c r="AB61">
        <f>TRUNC(AB71*AE71)</f>
        <v>0</v>
      </c>
      <c r="AC61">
        <f>SUM(AC50:AC59)</f>
        <v>0</v>
      </c>
      <c r="AD61">
        <f>TRUNC(AB73*AE73)</f>
        <v>0</v>
      </c>
      <c r="AE61">
        <f t="shared" si="12"/>
        <v>0</v>
      </c>
      <c r="AF61" t="s">
        <v>295</v>
      </c>
    </row>
    <row r="62" spans="2:39" x14ac:dyDescent="0.15">
      <c r="B62" t="s">
        <v>757</v>
      </c>
      <c r="AF62">
        <f t="shared" ref="AF62:AF71" si="22">TRUNC(AC50*AE$73)</f>
        <v>0</v>
      </c>
      <c r="AG62">
        <f t="shared" ref="AG62:AG71" si="23">AC50*AE$73-AF62</f>
        <v>0</v>
      </c>
      <c r="AH62">
        <f>RANK(AG62,AG$62:AG$71)</f>
        <v>1</v>
      </c>
    </row>
    <row r="63" spans="2:39" ht="14.25" thickBot="1" x14ac:dyDescent="0.2">
      <c r="B63" s="5"/>
      <c r="C63" s="2"/>
      <c r="D63" s="2">
        <v>0</v>
      </c>
      <c r="E63" s="135">
        <f>B$38</f>
        <v>0</v>
      </c>
      <c r="F63" s="2">
        <f>B$39</f>
        <v>0</v>
      </c>
      <c r="G63" s="2">
        <f>B$40</f>
        <v>0</v>
      </c>
      <c r="H63" s="2">
        <f>B$41</f>
        <v>0</v>
      </c>
      <c r="I63" s="95">
        <f>B$42</f>
        <v>0</v>
      </c>
      <c r="N63" t="s">
        <v>198</v>
      </c>
      <c r="Q63" t="s">
        <v>464</v>
      </c>
      <c r="AF63">
        <f t="shared" si="22"/>
        <v>0</v>
      </c>
      <c r="AG63">
        <f t="shared" si="23"/>
        <v>0</v>
      </c>
      <c r="AH63">
        <f t="shared" ref="AH63:AH71" si="24">RANK(AG63,AG$62:AG$71)</f>
        <v>1</v>
      </c>
    </row>
    <row r="64" spans="2:39" x14ac:dyDescent="0.15">
      <c r="B64" s="10" t="s">
        <v>156</v>
      </c>
      <c r="C64" s="21"/>
      <c r="D64" s="21"/>
      <c r="E64" s="642">
        <v>1.3</v>
      </c>
      <c r="F64" s="589"/>
      <c r="G64" s="590"/>
      <c r="H64" s="590"/>
      <c r="I64" s="591"/>
      <c r="N64" s="759" t="s">
        <v>199</v>
      </c>
      <c r="O64" s="760"/>
      <c r="P64" s="47" t="s">
        <v>200</v>
      </c>
      <c r="Q64" s="763" t="s">
        <v>201</v>
      </c>
      <c r="R64" s="763" t="s">
        <v>202</v>
      </c>
      <c r="S64" s="763" t="s">
        <v>203</v>
      </c>
      <c r="T64" s="765" t="s">
        <v>204</v>
      </c>
      <c r="U64" s="766"/>
      <c r="V64" s="767"/>
      <c r="X64" t="e">
        <f>TRUNC(Y51*X$72/X$73)</f>
        <v>#REF!</v>
      </c>
      <c r="Y64" t="e">
        <f>X64-Y51*X$72/X$73</f>
        <v>#REF!</v>
      </c>
      <c r="AF64">
        <f t="shared" si="22"/>
        <v>0</v>
      </c>
      <c r="AG64">
        <f t="shared" si="23"/>
        <v>0</v>
      </c>
      <c r="AH64">
        <f t="shared" si="24"/>
        <v>1</v>
      </c>
    </row>
    <row r="65" spans="2:34" ht="14.25" thickBot="1" x14ac:dyDescent="0.2">
      <c r="B65" s="10" t="s">
        <v>784</v>
      </c>
      <c r="C65" s="21"/>
      <c r="D65" s="21"/>
      <c r="E65" s="642">
        <v>1.3</v>
      </c>
      <c r="F65" s="589"/>
      <c r="G65" s="590"/>
      <c r="H65" s="590"/>
      <c r="I65" s="591"/>
      <c r="N65" s="761"/>
      <c r="O65" s="762"/>
      <c r="P65" s="56" t="s">
        <v>206</v>
      </c>
      <c r="Q65" s="764" t="s">
        <v>207</v>
      </c>
      <c r="R65" s="764"/>
      <c r="S65" s="764" t="s">
        <v>207</v>
      </c>
      <c r="T65" s="768"/>
      <c r="U65" s="769"/>
      <c r="V65" s="770"/>
      <c r="Z65" t="e">
        <f>RANK(Y64,Y$64:Y$69)</f>
        <v>#REF!</v>
      </c>
      <c r="AF65">
        <f t="shared" si="22"/>
        <v>0</v>
      </c>
      <c r="AG65">
        <f t="shared" si="23"/>
        <v>0</v>
      </c>
      <c r="AH65">
        <f t="shared" si="24"/>
        <v>1</v>
      </c>
    </row>
    <row r="66" spans="2:34" ht="14.25" thickTop="1" x14ac:dyDescent="0.15">
      <c r="B66" s="9" t="s">
        <v>785</v>
      </c>
      <c r="C66" s="3"/>
      <c r="D66" s="3"/>
      <c r="E66" s="643">
        <v>1.2</v>
      </c>
      <c r="F66" s="592"/>
      <c r="G66" s="592"/>
      <c r="H66" s="592"/>
      <c r="I66" s="593"/>
      <c r="N66" s="24"/>
      <c r="O66" s="6"/>
      <c r="P66" s="359"/>
      <c r="Q66" s="248"/>
      <c r="R66" s="252"/>
      <c r="S66" s="363"/>
      <c r="T66" s="637">
        <f>IF(R7=2,0,"機器管理費補正")</f>
        <v>0</v>
      </c>
      <c r="U66" s="594"/>
      <c r="V66" s="627"/>
      <c r="X66" t="e">
        <f>TRUNC(Y57*X$72/X$73)</f>
        <v>#REF!</v>
      </c>
      <c r="Y66" t="e">
        <f>X66-Y57*X$72/X$73</f>
        <v>#REF!</v>
      </c>
      <c r="Z66" t="e">
        <f>RANK(Y66,Y$64:Y$69)</f>
        <v>#REF!</v>
      </c>
      <c r="AF66">
        <f t="shared" si="22"/>
        <v>0</v>
      </c>
      <c r="AG66">
        <f t="shared" si="23"/>
        <v>0</v>
      </c>
      <c r="AH66">
        <f t="shared" si="24"/>
        <v>1</v>
      </c>
    </row>
    <row r="67" spans="2:34" x14ac:dyDescent="0.15">
      <c r="N67" s="27" t="s">
        <v>736</v>
      </c>
      <c r="O67" s="8" t="s">
        <v>137</v>
      </c>
      <c r="P67" s="628" t="e">
        <f>O44</f>
        <v>#REF!</v>
      </c>
      <c r="Q67" s="241" t="e">
        <f>IF(AND(O44&gt;3*10^3,O44&lt;=5*10^5),ROUND(J22*(O44*1000)^J23,2),IF(O44&lt;=10^4,J20,J21))/100</f>
        <v>#REF!</v>
      </c>
      <c r="R67" s="662">
        <f>VLOOKUP(R4,F26:K30,5)</f>
        <v>1.2</v>
      </c>
      <c r="S67" s="364" t="e">
        <f>IF(R67&gt;0,ROUND(Q67*R67,4),ROUND(Q67,4))</f>
        <v>#REF!</v>
      </c>
      <c r="T67" s="10"/>
      <c r="U67" s="79">
        <f>IF($R$7=2,0,TEXT($Q$71,"0.00%")&amp;" × 0.5 ＝ ")</f>
        <v>0</v>
      </c>
      <c r="V67" s="249">
        <f>IF($R$7=0,0,ROUND($Q$71*$R$71,4))</f>
        <v>0</v>
      </c>
      <c r="AB67">
        <f>AD27</f>
        <v>0</v>
      </c>
      <c r="AF67">
        <f t="shared" si="22"/>
        <v>0</v>
      </c>
      <c r="AG67">
        <f t="shared" si="23"/>
        <v>0</v>
      </c>
      <c r="AH67">
        <f t="shared" si="24"/>
        <v>1</v>
      </c>
    </row>
    <row r="68" spans="2:34" x14ac:dyDescent="0.15">
      <c r="B68" t="s">
        <v>758</v>
      </c>
      <c r="N68" s="24"/>
      <c r="O68" s="6"/>
      <c r="P68" s="359"/>
      <c r="Q68" s="248"/>
      <c r="R68" s="646"/>
      <c r="S68" s="363"/>
      <c r="T68" s="10"/>
      <c r="U68" s="21"/>
      <c r="V68" s="22"/>
      <c r="X68" t="e">
        <f>TRUNC(Y59*X$72/X$73)</f>
        <v>#REF!</v>
      </c>
      <c r="Y68" t="e">
        <f>X68-Y59*X$72/X$73</f>
        <v>#REF!</v>
      </c>
      <c r="Z68" t="e">
        <f>RANK(Y68,Y$64:Y$69)</f>
        <v>#REF!</v>
      </c>
      <c r="AF68">
        <f t="shared" si="22"/>
        <v>0</v>
      </c>
      <c r="AG68">
        <f t="shared" si="23"/>
        <v>0</v>
      </c>
      <c r="AH68">
        <f t="shared" si="24"/>
        <v>1</v>
      </c>
    </row>
    <row r="69" spans="2:34" x14ac:dyDescent="0.15">
      <c r="B69" s="5"/>
      <c r="C69" s="2"/>
      <c r="D69" s="2">
        <v>0</v>
      </c>
      <c r="E69" s="135">
        <f>B$38</f>
        <v>0</v>
      </c>
      <c r="F69" s="2">
        <f>B$39</f>
        <v>0</v>
      </c>
      <c r="G69" s="2">
        <f>B$40</f>
        <v>0</v>
      </c>
      <c r="H69" s="2">
        <f>B$41</f>
        <v>0</v>
      </c>
      <c r="I69" s="95">
        <f>B$42</f>
        <v>0</v>
      </c>
      <c r="N69" s="27" t="s">
        <v>737</v>
      </c>
      <c r="O69" s="8" t="s">
        <v>138</v>
      </c>
      <c r="P69" s="628" t="e">
        <f>S44</f>
        <v>#REF!</v>
      </c>
      <c r="Q69" s="242" t="e">
        <f>IF(AND(S44&gt;3*10^3,S44&lt;=5*10^5),ROUND(K22*(S44*1000)^K23,2),IF(S44&lt;=10^4,K20,K21))/100</f>
        <v>#REF!</v>
      </c>
      <c r="R69" s="662">
        <f>VLOOKUP(R4,F26:K30,6)</f>
        <v>1.1000000000000001</v>
      </c>
      <c r="S69" s="364" t="e">
        <f>IF(R69&gt;0,ROUND(Q69*R69,4),ROUND(Q69,4))</f>
        <v>#REF!</v>
      </c>
      <c r="T69" s="10" t="s">
        <v>735</v>
      </c>
      <c r="U69" s="21"/>
      <c r="V69" s="22"/>
      <c r="AB69">
        <f>AB67</f>
        <v>0</v>
      </c>
      <c r="AC69" s="236">
        <f>IF(AND(AB69&gt;10^4,AB69&lt;=2*10^6),ROUND(D22*(AB69*1000)^D23,2),IF(AB69&lt;=10^4,D20,D21))/100</f>
        <v>0</v>
      </c>
      <c r="AD69" s="235">
        <f>R147</f>
        <v>1.2</v>
      </c>
      <c r="AE69" s="237">
        <f>SUM(AC69:AD69)</f>
        <v>1.2</v>
      </c>
      <c r="AF69">
        <f t="shared" si="22"/>
        <v>0</v>
      </c>
      <c r="AG69">
        <f t="shared" si="23"/>
        <v>0</v>
      </c>
      <c r="AH69">
        <f t="shared" si="24"/>
        <v>1</v>
      </c>
    </row>
    <row r="70" spans="2:34" x14ac:dyDescent="0.15">
      <c r="B70" s="10" t="s">
        <v>156</v>
      </c>
      <c r="C70" s="21"/>
      <c r="D70" s="21"/>
      <c r="E70" s="644">
        <v>1</v>
      </c>
      <c r="F70" s="595"/>
      <c r="G70" s="596"/>
      <c r="H70" s="596"/>
      <c r="I70" s="597"/>
      <c r="N70" s="24"/>
      <c r="O70" s="6"/>
      <c r="P70" s="598"/>
      <c r="Q70" s="599"/>
      <c r="R70" s="646"/>
      <c r="S70" s="600"/>
      <c r="T70" s="10"/>
      <c r="U70" s="79" t="e">
        <f>TEXT($Q$73,"0.00%×")&amp;TEXT($R$5,"0.00")&amp;IF(R72="","",TEXT(R72,"×0.00"))&amp;" ＝ "</f>
        <v>#VALUE!</v>
      </c>
      <c r="V70" s="249" t="e">
        <f>ROUND($Q$73*$R$73,4)</f>
        <v>#REF!</v>
      </c>
      <c r="X70" t="e">
        <f>SUM(X64:X68)</f>
        <v>#REF!</v>
      </c>
      <c r="AC70" s="235"/>
      <c r="AD70" s="235"/>
      <c r="AE70" s="235"/>
      <c r="AF70">
        <f t="shared" si="22"/>
        <v>0</v>
      </c>
      <c r="AG70">
        <f t="shared" si="23"/>
        <v>0</v>
      </c>
      <c r="AH70">
        <f t="shared" si="24"/>
        <v>1</v>
      </c>
    </row>
    <row r="71" spans="2:34" x14ac:dyDescent="0.15">
      <c r="B71" s="10" t="s">
        <v>784</v>
      </c>
      <c r="C71" s="21"/>
      <c r="D71" s="21"/>
      <c r="E71" s="644">
        <v>1.1000000000000001</v>
      </c>
      <c r="F71" s="595"/>
      <c r="G71" s="596"/>
      <c r="H71" s="596"/>
      <c r="I71" s="597"/>
      <c r="N71" s="27" t="s">
        <v>738</v>
      </c>
      <c r="O71" s="669" t="s">
        <v>760</v>
      </c>
      <c r="P71" s="628">
        <f>O61</f>
        <v>39621</v>
      </c>
      <c r="Q71" s="242">
        <f>IF(AND(O61&gt;1.4*10^4,O61&lt;=2*10^5),ROUND(J14*(O61*1000)^J15,2),IF(O61&lt;=10^4,J12,J13))/100</f>
        <v>0.1116</v>
      </c>
      <c r="R71" s="659">
        <f>IF(R7=1,0.5,0)</f>
        <v>0</v>
      </c>
      <c r="S71" s="364">
        <f>IF(R71&gt;0,ROUND(Q71*R71,4),ROUND(Q71,4))</f>
        <v>0.1116</v>
      </c>
      <c r="T71" s="10"/>
      <c r="U71" s="21"/>
      <c r="V71" s="601"/>
      <c r="X71" t="e">
        <f>X72-X70</f>
        <v>#REF!</v>
      </c>
      <c r="Y71" t="e">
        <f>ABS(X71)</f>
        <v>#REF!</v>
      </c>
      <c r="Z71" t="e">
        <f>IF(X72=X70,0,X71/Y71)</f>
        <v>#REF!</v>
      </c>
      <c r="AB71">
        <f>AB27+AD44</f>
        <v>0</v>
      </c>
      <c r="AC71" s="237">
        <f>IF(AND(AB71&gt;10^4,AB71&lt;=2*10^6),ROUND($E22*(AB71*1000)^$E23,2),IF(AB71&lt;=10^4,$E20,$E21))/100</f>
        <v>0</v>
      </c>
      <c r="AD71" s="235">
        <f>R149</f>
        <v>1.1000000000000001</v>
      </c>
      <c r="AE71" s="237">
        <f>SUM(AC71:AD71)</f>
        <v>1.1000000000000001</v>
      </c>
      <c r="AF71">
        <f t="shared" si="22"/>
        <v>0</v>
      </c>
      <c r="AG71">
        <f t="shared" si="23"/>
        <v>0</v>
      </c>
      <c r="AH71">
        <f t="shared" si="24"/>
        <v>1</v>
      </c>
    </row>
    <row r="72" spans="2:34" x14ac:dyDescent="0.15">
      <c r="B72" s="9" t="s">
        <v>785</v>
      </c>
      <c r="C72" s="3"/>
      <c r="D72" s="3"/>
      <c r="E72" s="645">
        <v>1.1000000000000001</v>
      </c>
      <c r="F72" s="602"/>
      <c r="G72" s="602"/>
      <c r="H72" s="602"/>
      <c r="I72" s="603"/>
      <c r="N72" s="24"/>
      <c r="O72" s="6"/>
      <c r="P72" s="359"/>
      <c r="Q72" s="248"/>
      <c r="R72" s="624"/>
      <c r="S72" s="363"/>
      <c r="T72" s="10" t="s">
        <v>739</v>
      </c>
      <c r="U72" s="79"/>
      <c r="V72" s="251"/>
      <c r="X72" t="e">
        <f>Z39-Z43</f>
        <v>#REF!</v>
      </c>
      <c r="AC72" s="235"/>
      <c r="AD72" s="235"/>
      <c r="AE72" s="235"/>
      <c r="AF72" s="100" t="s">
        <v>290</v>
      </c>
      <c r="AG72" s="238">
        <f>AD61-SUM(AF62:AF71)</f>
        <v>0</v>
      </c>
    </row>
    <row r="73" spans="2:34" ht="14.25" thickBot="1" x14ac:dyDescent="0.2">
      <c r="N73" s="68" t="s">
        <v>740</v>
      </c>
      <c r="O73" s="29" t="s">
        <v>139</v>
      </c>
      <c r="P73" s="629" t="e">
        <f>R61</f>
        <v>#REF!</v>
      </c>
      <c r="Q73" s="243" t="e">
        <f>IF(AND(P73&gt;5*10^3,P73&lt;=3*10^6),ROUND(($D$29*LOG(P73*1000)+$D$30),2),IF(P73&lt;=5*10^3,$D$27,$D$28))/100</f>
        <v>#REF!</v>
      </c>
      <c r="R73" s="697">
        <f>R151</f>
        <v>1</v>
      </c>
      <c r="S73" s="365" t="e">
        <f>IF(R6=1,V70+R6*0.04/100,V70)</f>
        <v>#REF!</v>
      </c>
      <c r="T73" s="30"/>
      <c r="U73" s="196" t="e">
        <f>IF($R$6=2,0,TEXT($V$70,"0.00%")&amp;" ＋ 0.04 ＝ ")</f>
        <v>#VALUE!</v>
      </c>
      <c r="V73" s="250" t="e">
        <f>IF($R$6=2,0,$S$73)</f>
        <v>#REF!</v>
      </c>
      <c r="X73" t="e">
        <f>SUM(Y51,Y57,Y59)</f>
        <v>#REF!</v>
      </c>
      <c r="AB73">
        <f>SUM(AC50:AC59)</f>
        <v>0</v>
      </c>
      <c r="AC73" s="237">
        <f>IF(AND(AB73&gt;5*10^3,AB73&lt;=3*10^6),ROUND(($D29*LOG(AB73*1000)+$D30),2),IF(AB73&lt;=5*10^3,$D27,$D28))/100</f>
        <v>0.22719999999999999</v>
      </c>
      <c r="AD73" s="235">
        <f>R151</f>
        <v>1</v>
      </c>
      <c r="AE73" s="237">
        <f>ROUND(AC73*AD73,4)+R6*0.04%</f>
        <v>0.22760000000000002</v>
      </c>
      <c r="AG73" s="238">
        <f>ABS(AG72)</f>
        <v>0</v>
      </c>
      <c r="AH73" s="238">
        <f>IF(AG72=0,0,AG72/AG73)</f>
        <v>0</v>
      </c>
    </row>
    <row r="74" spans="2:34" ht="17.25" x14ac:dyDescent="0.2">
      <c r="N74" s="33" t="s">
        <v>112</v>
      </c>
      <c r="O74" s="34"/>
      <c r="P74" s="34"/>
      <c r="Q74" s="34"/>
      <c r="R74" s="34"/>
      <c r="S74" s="34"/>
      <c r="T74" s="34"/>
      <c r="U74" s="34"/>
      <c r="V74" s="34"/>
    </row>
    <row r="75" spans="2:34" ht="14.25" thickBot="1" x14ac:dyDescent="0.2">
      <c r="N75" t="s">
        <v>114</v>
      </c>
      <c r="V75" t="s">
        <v>115</v>
      </c>
    </row>
    <row r="76" spans="2:34" x14ac:dyDescent="0.15">
      <c r="N76" s="45"/>
      <c r="O76" s="46"/>
      <c r="P76" s="18"/>
      <c r="Q76" s="47" t="s">
        <v>117</v>
      </c>
      <c r="R76" s="763" t="s">
        <v>118</v>
      </c>
      <c r="S76" s="47" t="s">
        <v>119</v>
      </c>
      <c r="T76" s="763" t="s">
        <v>120</v>
      </c>
      <c r="U76" s="763" t="s">
        <v>121</v>
      </c>
      <c r="V76" s="58" t="s">
        <v>102</v>
      </c>
    </row>
    <row r="77" spans="2:34" x14ac:dyDescent="0.15">
      <c r="B77" t="s">
        <v>133</v>
      </c>
      <c r="N77" s="49" t="s">
        <v>123</v>
      </c>
      <c r="O77" s="25"/>
      <c r="P77" s="25"/>
      <c r="Q77" s="6" t="s">
        <v>124</v>
      </c>
      <c r="R77" s="773"/>
      <c r="S77" s="6" t="s">
        <v>125</v>
      </c>
      <c r="T77" s="773"/>
      <c r="U77" s="773"/>
      <c r="V77" s="69" t="s">
        <v>126</v>
      </c>
      <c r="AB77" t="s">
        <v>285</v>
      </c>
    </row>
    <row r="78" spans="2:34" ht="14.25" thickBot="1" x14ac:dyDescent="0.2">
      <c r="B78" t="s">
        <v>136</v>
      </c>
      <c r="F78" t="s">
        <v>137</v>
      </c>
      <c r="J78" t="s">
        <v>138</v>
      </c>
      <c r="N78" s="51"/>
      <c r="O78" s="35"/>
      <c r="P78" s="36"/>
      <c r="Q78" s="39" t="s">
        <v>127</v>
      </c>
      <c r="R78" s="39" t="s">
        <v>128</v>
      </c>
      <c r="S78" s="39" t="s">
        <v>129</v>
      </c>
      <c r="T78" s="39" t="s">
        <v>130</v>
      </c>
      <c r="U78" s="39" t="s">
        <v>131</v>
      </c>
      <c r="V78" s="70" t="s">
        <v>132</v>
      </c>
      <c r="AB78" s="233" t="s">
        <v>286</v>
      </c>
      <c r="AC78" s="233" t="s">
        <v>287</v>
      </c>
      <c r="AD78" s="233" t="s">
        <v>288</v>
      </c>
    </row>
    <row r="79" spans="2:34" ht="15" customHeight="1" thickTop="1" x14ac:dyDescent="0.15">
      <c r="B79" s="5">
        <f t="shared" ref="B79:B84" si="25">TRUNC(S$145*O98/100)</f>
        <v>0</v>
      </c>
      <c r="C79" s="2">
        <f t="shared" ref="C79:C84" si="26">S$145*O98/100-B79</f>
        <v>0</v>
      </c>
      <c r="D79" s="95">
        <f t="shared" ref="D79:D84" si="27">RANK(C79,C$79:C$84)</f>
        <v>1</v>
      </c>
      <c r="F79" s="5">
        <f t="shared" ref="F79:F84" si="28">TRUNC(Q98*S$147,0)</f>
        <v>0</v>
      </c>
      <c r="G79" s="2">
        <f t="shared" ref="G79:G84" si="29">Q98*S$147-F79</f>
        <v>0</v>
      </c>
      <c r="H79" s="95">
        <f t="shared" ref="H79:H84" si="30">RANK(G79,G$79:G$84)</f>
        <v>1</v>
      </c>
      <c r="J79" s="5">
        <f t="shared" ref="J79:J84" si="31">TRUNC(O117*S$149,0)</f>
        <v>0</v>
      </c>
      <c r="K79" s="2">
        <f t="shared" ref="K79:K84" si="32">O117*S$149-J79</f>
        <v>0</v>
      </c>
      <c r="L79" s="95">
        <f t="shared" ref="L79:L84" si="33">RANK(K79,K$79:K$84)</f>
        <v>1</v>
      </c>
      <c r="N79" s="62">
        <v>1</v>
      </c>
      <c r="O79" s="115"/>
      <c r="P79" s="37"/>
      <c r="Q79" s="198"/>
      <c r="R79" s="198"/>
      <c r="S79" s="199"/>
      <c r="T79" s="199"/>
      <c r="U79" s="199"/>
      <c r="V79" s="63">
        <f>IF(SUM(Q79:U79)=0,0,SUM(Q79:U79))</f>
        <v>0</v>
      </c>
      <c r="AB79" s="114"/>
      <c r="AC79" s="114"/>
    </row>
    <row r="80" spans="2:34" ht="15" customHeight="1" x14ac:dyDescent="0.15">
      <c r="B80" s="10">
        <f t="shared" si="25"/>
        <v>0</v>
      </c>
      <c r="C80" s="21">
        <f t="shared" si="26"/>
        <v>0</v>
      </c>
      <c r="D80" s="96">
        <f t="shared" si="27"/>
        <v>1</v>
      </c>
      <c r="F80" s="10">
        <f t="shared" si="28"/>
        <v>0</v>
      </c>
      <c r="G80" s="21">
        <f t="shared" si="29"/>
        <v>0</v>
      </c>
      <c r="H80" s="96">
        <f t="shared" si="30"/>
        <v>1</v>
      </c>
      <c r="J80" s="10">
        <f t="shared" si="31"/>
        <v>0</v>
      </c>
      <c r="K80" s="21">
        <f t="shared" si="32"/>
        <v>0</v>
      </c>
      <c r="L80" s="96">
        <f t="shared" si="33"/>
        <v>1</v>
      </c>
      <c r="N80" s="62">
        <v>2</v>
      </c>
      <c r="O80" s="342" t="s">
        <v>741</v>
      </c>
      <c r="P80" s="343"/>
      <c r="Q80" s="344"/>
      <c r="R80" s="344"/>
      <c r="S80" s="344"/>
      <c r="T80" s="344"/>
      <c r="U80" s="344"/>
      <c r="V80" s="345">
        <f>IF(SUM(Q80:U80)=0,0,SUM(Q80:U80))</f>
        <v>0</v>
      </c>
      <c r="AB80" s="114">
        <v>0</v>
      </c>
      <c r="AC80" s="114">
        <v>0</v>
      </c>
      <c r="AD80">
        <f>SUM(AB80:AC80)</f>
        <v>0</v>
      </c>
    </row>
    <row r="81" spans="2:33" ht="15" customHeight="1" x14ac:dyDescent="0.15">
      <c r="B81" s="10">
        <f t="shared" si="25"/>
        <v>0</v>
      </c>
      <c r="C81" s="21">
        <f t="shared" si="26"/>
        <v>0</v>
      </c>
      <c r="D81" s="96">
        <f t="shared" si="27"/>
        <v>1</v>
      </c>
      <c r="F81" s="10">
        <f t="shared" si="28"/>
        <v>0</v>
      </c>
      <c r="G81" s="21">
        <f t="shared" si="29"/>
        <v>0</v>
      </c>
      <c r="H81" s="96">
        <f t="shared" si="30"/>
        <v>1</v>
      </c>
      <c r="J81" s="10">
        <f t="shared" si="31"/>
        <v>0</v>
      </c>
      <c r="K81" s="21">
        <f t="shared" si="32"/>
        <v>0</v>
      </c>
      <c r="L81" s="96">
        <f t="shared" si="33"/>
        <v>1</v>
      </c>
      <c r="N81" s="62">
        <v>3</v>
      </c>
      <c r="O81" s="342" t="s">
        <v>742</v>
      </c>
      <c r="P81" s="343"/>
      <c r="Q81" s="346"/>
      <c r="R81" s="344"/>
      <c r="S81" s="347"/>
      <c r="T81" s="347"/>
      <c r="U81" s="347"/>
      <c r="V81" s="345">
        <f>IF(SUM(Q81:U81)=0,0,SUM(Q81:U81))</f>
        <v>0</v>
      </c>
      <c r="AB81" s="114"/>
      <c r="AC81" s="114"/>
    </row>
    <row r="82" spans="2:33" ht="15" customHeight="1" x14ac:dyDescent="0.15">
      <c r="B82" s="10">
        <f t="shared" si="25"/>
        <v>0</v>
      </c>
      <c r="C82" s="21">
        <f t="shared" si="26"/>
        <v>0</v>
      </c>
      <c r="D82" s="96">
        <f t="shared" si="27"/>
        <v>1</v>
      </c>
      <c r="F82" s="10">
        <f t="shared" si="28"/>
        <v>0</v>
      </c>
      <c r="G82" s="21">
        <f t="shared" si="29"/>
        <v>0</v>
      </c>
      <c r="H82" s="96">
        <f t="shared" si="30"/>
        <v>1</v>
      </c>
      <c r="J82" s="10">
        <f t="shared" si="31"/>
        <v>0</v>
      </c>
      <c r="K82" s="21">
        <f t="shared" si="32"/>
        <v>0</v>
      </c>
      <c r="L82" s="96">
        <f t="shared" si="33"/>
        <v>1</v>
      </c>
      <c r="N82" s="62">
        <v>4</v>
      </c>
      <c r="O82" s="342" t="s">
        <v>75</v>
      </c>
      <c r="P82" s="343"/>
      <c r="Q82" s="344"/>
      <c r="R82" s="344">
        <v>0</v>
      </c>
      <c r="S82" s="344"/>
      <c r="T82" s="344"/>
      <c r="U82" s="344"/>
      <c r="V82" s="345">
        <f>IF(SUM(Q82:U82)=0,0,SUM(Q82:U82))</f>
        <v>0</v>
      </c>
      <c r="AB82" s="114">
        <v>0</v>
      </c>
      <c r="AC82" s="114"/>
      <c r="AD82">
        <f>SUM(AB82:AC82)</f>
        <v>0</v>
      </c>
    </row>
    <row r="83" spans="2:33" ht="15" customHeight="1" x14ac:dyDescent="0.15">
      <c r="B83" s="10">
        <f t="shared" si="25"/>
        <v>0</v>
      </c>
      <c r="C83" s="21">
        <f t="shared" si="26"/>
        <v>0</v>
      </c>
      <c r="D83" s="96">
        <f t="shared" si="27"/>
        <v>1</v>
      </c>
      <c r="E83" s="21"/>
      <c r="F83" s="10">
        <f t="shared" si="28"/>
        <v>0</v>
      </c>
      <c r="G83" s="21">
        <f t="shared" si="29"/>
        <v>0</v>
      </c>
      <c r="H83" s="96">
        <f t="shared" si="30"/>
        <v>1</v>
      </c>
      <c r="I83" s="21"/>
      <c r="J83" s="10">
        <f t="shared" si="31"/>
        <v>0</v>
      </c>
      <c r="K83" s="21">
        <f t="shared" si="32"/>
        <v>0</v>
      </c>
      <c r="L83" s="96">
        <f t="shared" si="33"/>
        <v>1</v>
      </c>
      <c r="N83" s="64">
        <v>5</v>
      </c>
      <c r="O83" s="367"/>
      <c r="P83" s="38"/>
      <c r="Q83" s="42"/>
      <c r="R83" s="42"/>
      <c r="S83" s="42"/>
      <c r="T83" s="42"/>
      <c r="U83" s="42"/>
      <c r="V83" s="65">
        <f>IF(SUM(Q83:U83)=0,0,SUM(Q83:U83))</f>
        <v>0</v>
      </c>
      <c r="AB83" s="114">
        <v>0</v>
      </c>
      <c r="AC83" s="114"/>
    </row>
    <row r="84" spans="2:33" ht="15" customHeight="1" x14ac:dyDescent="0.15">
      <c r="B84" s="43">
        <f t="shared" si="25"/>
        <v>0</v>
      </c>
      <c r="C84" s="97">
        <f t="shared" si="26"/>
        <v>0</v>
      </c>
      <c r="D84" s="98">
        <f t="shared" si="27"/>
        <v>1</v>
      </c>
      <c r="F84" s="43">
        <f t="shared" si="28"/>
        <v>0</v>
      </c>
      <c r="G84" s="97">
        <f t="shared" si="29"/>
        <v>0</v>
      </c>
      <c r="H84" s="98">
        <f t="shared" si="30"/>
        <v>1</v>
      </c>
      <c r="J84" s="43">
        <f t="shared" si="31"/>
        <v>0</v>
      </c>
      <c r="K84" s="97">
        <f t="shared" si="32"/>
        <v>0</v>
      </c>
      <c r="L84" s="98">
        <f t="shared" si="33"/>
        <v>1</v>
      </c>
      <c r="N84" s="62">
        <v>6</v>
      </c>
      <c r="O84" s="115"/>
      <c r="P84" s="37"/>
      <c r="Q84" s="41"/>
      <c r="R84" s="41"/>
      <c r="S84" s="41"/>
      <c r="T84" s="41"/>
      <c r="U84" s="41"/>
      <c r="V84" s="63"/>
      <c r="AB84" s="114"/>
      <c r="AC84" s="114"/>
    </row>
    <row r="85" spans="2:33" ht="15" customHeight="1" x14ac:dyDescent="0.15">
      <c r="B85" s="10">
        <f>SUM(B79:B84)</f>
        <v>0</v>
      </c>
      <c r="C85" s="21"/>
      <c r="D85" s="96"/>
      <c r="F85" s="10">
        <f>SUM(F79:F84)</f>
        <v>0</v>
      </c>
      <c r="G85" s="21"/>
      <c r="H85" s="96"/>
      <c r="J85" s="10">
        <f>SUM(J79:J84)</f>
        <v>0</v>
      </c>
      <c r="K85" s="21"/>
      <c r="L85" s="96"/>
      <c r="N85" s="62">
        <v>7</v>
      </c>
      <c r="O85" s="332" t="s">
        <v>743</v>
      </c>
      <c r="P85" s="37"/>
      <c r="Q85" s="41"/>
      <c r="R85" s="41"/>
      <c r="S85" s="41"/>
      <c r="T85" s="41"/>
      <c r="U85" s="41"/>
      <c r="V85" s="63"/>
      <c r="AB85" s="114"/>
      <c r="AC85" s="114"/>
    </row>
    <row r="86" spans="2:33" ht="15" customHeight="1" x14ac:dyDescent="0.15">
      <c r="B86" s="9">
        <f>P109-B85</f>
        <v>0</v>
      </c>
      <c r="C86" s="3">
        <f>ABS(B86)</f>
        <v>0</v>
      </c>
      <c r="D86" s="80">
        <f>IF(P109=B85,0,B86/C86)</f>
        <v>0</v>
      </c>
      <c r="F86" s="9">
        <f>R109-F85</f>
        <v>0</v>
      </c>
      <c r="G86" s="3">
        <f>ABS(F86)</f>
        <v>0</v>
      </c>
      <c r="H86" s="80">
        <f>IF(R109=F85,0,F86/G86)</f>
        <v>0</v>
      </c>
      <c r="J86" s="9">
        <f>P139-J85</f>
        <v>0</v>
      </c>
      <c r="K86" s="3">
        <f>ABS(J86)</f>
        <v>0</v>
      </c>
      <c r="L86" s="80">
        <f>IF(P139=J85,0,J86/K86)</f>
        <v>0</v>
      </c>
      <c r="N86" s="62">
        <v>8</v>
      </c>
      <c r="O86" s="332" t="s">
        <v>744</v>
      </c>
      <c r="P86" s="37"/>
      <c r="Q86" s="41"/>
      <c r="R86" s="41"/>
      <c r="S86" s="41"/>
      <c r="T86" s="41"/>
      <c r="U86" s="41"/>
      <c r="V86" s="63"/>
      <c r="AB86" s="114"/>
      <c r="AC86" s="114"/>
    </row>
    <row r="87" spans="2:33" ht="15" customHeight="1" x14ac:dyDescent="0.15">
      <c r="N87" s="62">
        <v>9</v>
      </c>
      <c r="O87" s="332" t="s">
        <v>77</v>
      </c>
      <c r="P87" s="37"/>
      <c r="Q87" s="41"/>
      <c r="R87" s="41"/>
      <c r="S87" s="41"/>
      <c r="T87" s="41"/>
      <c r="U87" s="41"/>
      <c r="V87" s="63"/>
      <c r="AB87" s="114"/>
      <c r="AC87" s="114"/>
    </row>
    <row r="88" spans="2:33" ht="15" customHeight="1" thickBot="1" x14ac:dyDescent="0.2">
      <c r="B88" s="610" t="s">
        <v>751</v>
      </c>
      <c r="N88" s="66">
        <v>10</v>
      </c>
      <c r="O88" s="334"/>
      <c r="P88" s="35"/>
      <c r="Q88" s="44"/>
      <c r="R88" s="44"/>
      <c r="S88" s="44"/>
      <c r="T88" s="44"/>
      <c r="U88" s="44"/>
      <c r="V88" s="67"/>
      <c r="AB88" s="114"/>
      <c r="AC88" s="114"/>
    </row>
    <row r="89" spans="2:33" ht="15" customHeight="1" thickTop="1" x14ac:dyDescent="0.15">
      <c r="B89" t="s">
        <v>137</v>
      </c>
      <c r="F89" t="s">
        <v>138</v>
      </c>
      <c r="J89" s="610" t="s">
        <v>760</v>
      </c>
      <c r="N89" s="49"/>
      <c r="O89" s="25"/>
      <c r="P89" s="21"/>
      <c r="Q89" s="195"/>
      <c r="R89" s="195"/>
      <c r="S89" s="200"/>
      <c r="T89" s="200"/>
      <c r="U89" s="200"/>
      <c r="V89" s="201"/>
      <c r="AB89" s="114"/>
      <c r="AC89" s="114"/>
    </row>
    <row r="90" spans="2:33" ht="15" customHeight="1" thickBot="1" x14ac:dyDescent="0.2">
      <c r="B90" s="5" t="e">
        <f t="shared" ref="B90:B96" si="34">TRUNC(O33*S$67,0)</f>
        <v>#REF!</v>
      </c>
      <c r="C90" s="2" t="e">
        <f t="shared" ref="C90:C96" si="35">O33*S$67-B90</f>
        <v>#REF!</v>
      </c>
      <c r="D90" s="95" t="e">
        <f>RANK(C90,C$90:C$96)</f>
        <v>#REF!</v>
      </c>
      <c r="F90" s="5" t="e">
        <f t="shared" ref="F90:F96" si="36">TRUNC(S33*S$69,0)</f>
        <v>#REF!</v>
      </c>
      <c r="G90" s="2" t="e">
        <f t="shared" ref="G90:G96" si="37">S33*S$69-F90</f>
        <v>#REF!</v>
      </c>
      <c r="H90" s="95" t="e">
        <f>RANK(G90,G$90:G$96)</f>
        <v>#REF!</v>
      </c>
      <c r="J90" s="5">
        <f>TRUNC(O50*S$71,0)</f>
        <v>0</v>
      </c>
      <c r="K90" s="125">
        <f>O50*S$71-J90</f>
        <v>0</v>
      </c>
      <c r="L90" s="95">
        <f>RANK(K90,K$90:K$96)</f>
        <v>6</v>
      </c>
      <c r="N90" s="53" t="s">
        <v>102</v>
      </c>
      <c r="O90" s="54"/>
      <c r="P90" s="54"/>
      <c r="Q90" s="348">
        <f t="shared" ref="Q90:V90" si="38">SUM(Q79:Q88)</f>
        <v>0</v>
      </c>
      <c r="R90" s="348">
        <f t="shared" si="38"/>
        <v>0</v>
      </c>
      <c r="S90" s="348">
        <f t="shared" si="38"/>
        <v>0</v>
      </c>
      <c r="T90" s="348">
        <f t="shared" si="38"/>
        <v>0</v>
      </c>
      <c r="U90" s="348">
        <f t="shared" si="38"/>
        <v>0</v>
      </c>
      <c r="V90" s="349">
        <f t="shared" si="38"/>
        <v>0</v>
      </c>
      <c r="AB90" s="234">
        <f>SUM(AB80:AB83)</f>
        <v>0</v>
      </c>
      <c r="AC90" s="234">
        <f>SUM(AC80:AC83)</f>
        <v>0</v>
      </c>
      <c r="AD90">
        <f>SUM(AB90:AC90)</f>
        <v>0</v>
      </c>
    </row>
    <row r="91" spans="2:33" x14ac:dyDescent="0.15">
      <c r="B91" s="10" t="e">
        <f>TRUNC(O34*S$67,0)</f>
        <v>#REF!</v>
      </c>
      <c r="C91" s="21" t="e">
        <f>O34*S$67-B91</f>
        <v>#REF!</v>
      </c>
      <c r="D91" s="95" t="e">
        <f>RANK(C91,C$90:C$96)</f>
        <v>#REF!</v>
      </c>
      <c r="F91" s="10" t="e">
        <f t="shared" si="36"/>
        <v>#REF!</v>
      </c>
      <c r="G91" s="21" t="e">
        <f t="shared" si="37"/>
        <v>#REF!</v>
      </c>
      <c r="H91" s="95" t="e">
        <f>RANK(G91,G$90:G$96)</f>
        <v>#REF!</v>
      </c>
      <c r="J91" s="10">
        <f>TRUNC(O51*S$71,0)</f>
        <v>364</v>
      </c>
      <c r="K91" s="562">
        <f>O51*S$71-J91</f>
        <v>0.37400000000002365</v>
      </c>
      <c r="L91" s="95">
        <f t="shared" ref="L91:L96" si="39">RANK(K91,K$90:K$96)</f>
        <v>4</v>
      </c>
    </row>
    <row r="92" spans="2:33" ht="14.25" thickBot="1" x14ac:dyDescent="0.2">
      <c r="B92" s="10" t="e">
        <f t="shared" si="34"/>
        <v>#REF!</v>
      </c>
      <c r="C92" s="21" t="e">
        <f t="shared" si="35"/>
        <v>#REF!</v>
      </c>
      <c r="D92" s="95" t="e">
        <f t="shared" ref="D92:D94" si="40">RANK(C92,C$90:C$96)</f>
        <v>#REF!</v>
      </c>
      <c r="F92" s="10" t="e">
        <f t="shared" si="36"/>
        <v>#REF!</v>
      </c>
      <c r="G92" s="21" t="e">
        <f t="shared" si="37"/>
        <v>#REF!</v>
      </c>
      <c r="H92" s="95" t="e">
        <f>RANK(G92,G$90:G$96)</f>
        <v>#REF!</v>
      </c>
      <c r="J92" s="10">
        <f>TRUNC(O52*S$71,0)</f>
        <v>606</v>
      </c>
      <c r="K92" s="562">
        <f>O52*S$71-J92</f>
        <v>0.21120000000007622</v>
      </c>
      <c r="L92" s="95">
        <f>RANK(K92,K$90:K$96)</f>
        <v>5</v>
      </c>
      <c r="N92" t="s">
        <v>159</v>
      </c>
    </row>
    <row r="93" spans="2:33" x14ac:dyDescent="0.15">
      <c r="B93" s="10" t="e">
        <f t="shared" si="34"/>
        <v>#REF!</v>
      </c>
      <c r="C93" s="21" t="e">
        <f t="shared" si="35"/>
        <v>#REF!</v>
      </c>
      <c r="D93" s="95" t="e">
        <f t="shared" si="40"/>
        <v>#REF!</v>
      </c>
      <c r="F93" s="10" t="e">
        <f t="shared" si="36"/>
        <v>#REF!</v>
      </c>
      <c r="G93" s="21" t="e">
        <f t="shared" si="37"/>
        <v>#REF!</v>
      </c>
      <c r="H93" s="95" t="e">
        <f t="shared" ref="H93:H94" si="41">RANK(G93,G$90:G$96)</f>
        <v>#REF!</v>
      </c>
      <c r="J93" s="10">
        <f>TRUNC(O53*S$71,0)</f>
        <v>1273</v>
      </c>
      <c r="K93" s="562">
        <f>O53*S$71-J93</f>
        <v>0.8024000000000342</v>
      </c>
      <c r="L93" s="95">
        <f t="shared" si="39"/>
        <v>2</v>
      </c>
      <c r="N93" s="57"/>
      <c r="O93" s="47" t="s">
        <v>136</v>
      </c>
      <c r="P93" s="47" t="s">
        <v>136</v>
      </c>
      <c r="Q93" s="47" t="s">
        <v>137</v>
      </c>
      <c r="R93" s="47" t="s">
        <v>161</v>
      </c>
      <c r="S93" s="47" t="s">
        <v>162</v>
      </c>
      <c r="T93" s="47" t="s">
        <v>163</v>
      </c>
      <c r="U93" s="47" t="s">
        <v>164</v>
      </c>
      <c r="V93" s="58" t="s">
        <v>137</v>
      </c>
      <c r="W93" s="20"/>
      <c r="X93" s="20"/>
      <c r="Y93" s="20"/>
      <c r="Z93" s="20"/>
    </row>
    <row r="94" spans="2:33" x14ac:dyDescent="0.15">
      <c r="B94" s="43" t="e">
        <f t="shared" si="34"/>
        <v>#REF!</v>
      </c>
      <c r="C94" s="97" t="e">
        <f t="shared" si="35"/>
        <v>#REF!</v>
      </c>
      <c r="D94" s="95" t="e">
        <f t="shared" si="40"/>
        <v>#REF!</v>
      </c>
      <c r="F94" s="43" t="e">
        <f t="shared" si="36"/>
        <v>#REF!</v>
      </c>
      <c r="G94" s="97" t="e">
        <f t="shared" si="37"/>
        <v>#REF!</v>
      </c>
      <c r="H94" s="95" t="e">
        <f t="shared" si="41"/>
        <v>#REF!</v>
      </c>
      <c r="J94" s="43">
        <f>TRUNC(O54*S$71,0)</f>
        <v>721</v>
      </c>
      <c r="K94" s="604">
        <f>O54*S$71-J94</f>
        <v>0.82880000000000109</v>
      </c>
      <c r="L94" s="95">
        <f t="shared" si="39"/>
        <v>1</v>
      </c>
      <c r="N94" s="24" t="s">
        <v>97</v>
      </c>
      <c r="O94" s="6" t="s">
        <v>165</v>
      </c>
      <c r="P94" s="6" t="s">
        <v>166</v>
      </c>
      <c r="Q94" s="6" t="s">
        <v>165</v>
      </c>
      <c r="R94" s="6" t="s">
        <v>167</v>
      </c>
      <c r="S94" s="6" t="s">
        <v>168</v>
      </c>
      <c r="T94" s="6" t="s">
        <v>745</v>
      </c>
      <c r="U94" s="6" t="s">
        <v>170</v>
      </c>
      <c r="V94" s="59" t="s">
        <v>171</v>
      </c>
      <c r="W94" s="20"/>
      <c r="X94" s="20"/>
      <c r="Y94" s="20"/>
      <c r="Z94" s="20"/>
      <c r="AF94" s="34" t="s">
        <v>292</v>
      </c>
      <c r="AG94" s="34"/>
    </row>
    <row r="95" spans="2:33" x14ac:dyDescent="0.15">
      <c r="B95" s="43" t="e">
        <f t="shared" si="34"/>
        <v>#REF!</v>
      </c>
      <c r="C95" s="97" t="e">
        <f t="shared" si="35"/>
        <v>#REF!</v>
      </c>
      <c r="D95" s="95" t="e">
        <f>RANK(C95,C$90:C$96)</f>
        <v>#REF!</v>
      </c>
      <c r="F95" s="43" t="e">
        <f t="shared" si="36"/>
        <v>#REF!</v>
      </c>
      <c r="G95" s="97" t="e">
        <f t="shared" si="37"/>
        <v>#REF!</v>
      </c>
      <c r="H95" s="95" t="e">
        <f>RANK(G95,G$90:G$96)</f>
        <v>#REF!</v>
      </c>
      <c r="J95" s="43">
        <f t="shared" ref="J95:J96" si="42">TRUNC(O55*S$71,0)</f>
        <v>1455</v>
      </c>
      <c r="K95" s="604">
        <f t="shared" ref="K95:K96" si="43">O55*S$71-J95</f>
        <v>0.48720000000002983</v>
      </c>
      <c r="L95" s="95">
        <f t="shared" si="39"/>
        <v>3</v>
      </c>
      <c r="N95" s="24"/>
      <c r="O95" s="6"/>
      <c r="P95" s="6"/>
      <c r="Q95" s="6"/>
      <c r="R95" s="6"/>
      <c r="S95" s="6"/>
      <c r="T95" s="6"/>
      <c r="U95" s="6"/>
      <c r="V95" s="59"/>
      <c r="W95" s="20"/>
      <c r="X95" s="20"/>
      <c r="Y95" s="20"/>
      <c r="Z95" s="20"/>
      <c r="AF95" s="34"/>
      <c r="AG95" s="34"/>
    </row>
    <row r="96" spans="2:33" x14ac:dyDescent="0.15">
      <c r="B96" s="43" t="e">
        <f t="shared" si="34"/>
        <v>#REF!</v>
      </c>
      <c r="C96" s="97" t="e">
        <f t="shared" si="35"/>
        <v>#REF!</v>
      </c>
      <c r="D96" s="95" t="e">
        <f>RANK(C96,C$90:C$96)</f>
        <v>#REF!</v>
      </c>
      <c r="F96" s="43" t="e">
        <f t="shared" si="36"/>
        <v>#REF!</v>
      </c>
      <c r="G96" s="97" t="e">
        <f t="shared" si="37"/>
        <v>#REF!</v>
      </c>
      <c r="H96" s="95" t="e">
        <f>RANK(G96,G$90:G$96)</f>
        <v>#REF!</v>
      </c>
      <c r="J96" s="43">
        <f t="shared" si="42"/>
        <v>0</v>
      </c>
      <c r="K96" s="604">
        <f t="shared" si="43"/>
        <v>0</v>
      </c>
      <c r="L96" s="95">
        <f t="shared" si="39"/>
        <v>6</v>
      </c>
      <c r="N96" s="24"/>
      <c r="O96" s="6"/>
      <c r="P96" s="6"/>
      <c r="Q96" s="6"/>
      <c r="R96" s="6"/>
      <c r="S96" s="6"/>
      <c r="T96" s="6"/>
      <c r="U96" s="6"/>
      <c r="V96" s="59"/>
      <c r="W96" s="20"/>
      <c r="X96" s="20"/>
      <c r="Y96" s="20"/>
      <c r="Z96" s="20"/>
      <c r="AF96" s="34"/>
      <c r="AG96" s="34"/>
    </row>
    <row r="97" spans="2:38" ht="14.25" thickBot="1" x14ac:dyDescent="0.2">
      <c r="B97" s="10" t="e">
        <f>SUM(B90:B96)</f>
        <v>#REF!</v>
      </c>
      <c r="C97" s="21"/>
      <c r="D97" s="96"/>
      <c r="F97" s="10" t="e">
        <f>SUM(F90:F96)</f>
        <v>#REF!</v>
      </c>
      <c r="G97" s="21"/>
      <c r="H97" s="96"/>
      <c r="J97" s="10">
        <f>SUM(J90:J96)</f>
        <v>4419</v>
      </c>
      <c r="K97" s="21"/>
      <c r="L97" s="96"/>
      <c r="N97" s="60"/>
      <c r="O97" s="39" t="s">
        <v>172</v>
      </c>
      <c r="P97" s="39" t="s">
        <v>746</v>
      </c>
      <c r="Q97" s="39" t="s">
        <v>173</v>
      </c>
      <c r="R97" s="39" t="s">
        <v>747</v>
      </c>
      <c r="S97" s="39"/>
      <c r="T97" s="39"/>
      <c r="U97" s="39"/>
      <c r="V97" s="61" t="s">
        <v>174</v>
      </c>
      <c r="W97" s="20"/>
      <c r="X97" s="20"/>
      <c r="Y97" s="20"/>
      <c r="Z97" s="20"/>
      <c r="AF97" s="1" t="s">
        <v>289</v>
      </c>
      <c r="AG97" s="1" t="s">
        <v>291</v>
      </c>
      <c r="AH97" s="1" t="s">
        <v>288</v>
      </c>
      <c r="AJ97" t="s">
        <v>294</v>
      </c>
    </row>
    <row r="98" spans="2:38" ht="15" customHeight="1" thickTop="1" x14ac:dyDescent="0.15">
      <c r="B98" s="13" t="e">
        <f>P44-B97</f>
        <v>#REF!</v>
      </c>
      <c r="C98" s="3" t="e">
        <f>ABS(B98)</f>
        <v>#REF!</v>
      </c>
      <c r="D98" s="80" t="e">
        <f>IF(P44=B97,0,B98/C98)</f>
        <v>#REF!</v>
      </c>
      <c r="F98" s="401" t="e">
        <f>T44-F97</f>
        <v>#REF!</v>
      </c>
      <c r="G98" s="3" t="e">
        <f>ABS(F98)</f>
        <v>#REF!</v>
      </c>
      <c r="H98" s="80" t="e">
        <f>IF(T44=F97,0,F98/G98)</f>
        <v>#REF!</v>
      </c>
      <c r="J98" s="605">
        <f>P61-J97</f>
        <v>2</v>
      </c>
      <c r="K98" s="3">
        <f>ABS(J98)</f>
        <v>2</v>
      </c>
      <c r="L98" s="80">
        <f>IF(P61=J97,0,J98/K98)</f>
        <v>1</v>
      </c>
      <c r="N98" s="62">
        <v>1</v>
      </c>
      <c r="O98" s="41">
        <f>IF(SUM(Q79:T79)=0,0,SUM(Q79:T79))</f>
        <v>0</v>
      </c>
      <c r="P98" s="41">
        <f>IF(O98=0,0,IF(AND(B$86&lt;&gt;0,D79&lt;=C$86),B79+D$86,B79))</f>
        <v>0</v>
      </c>
      <c r="Q98" s="41">
        <f>O98</f>
        <v>0</v>
      </c>
      <c r="R98" s="41">
        <f>IF(Q98=0,0,IF(AND(F$86&lt;&gt;0,H79&lt;=G$86),F79+H$86,F79))</f>
        <v>0</v>
      </c>
      <c r="S98" s="307"/>
      <c r="T98" s="308"/>
      <c r="U98" s="308"/>
      <c r="V98" s="63">
        <f>SUM(R79:S79,P98,R98,U98)</f>
        <v>0</v>
      </c>
      <c r="W98" s="606"/>
      <c r="X98" s="606"/>
      <c r="Y98" s="382"/>
      <c r="Z98" s="382"/>
      <c r="AF98">
        <f>IF(AND(AK$103&lt;&gt;0,AL98&lt;=AK$104),AJ98+AL$104,AJ98)</f>
        <v>0</v>
      </c>
      <c r="AH98">
        <f>SUM(AF98:AG98,AC79)</f>
        <v>0</v>
      </c>
      <c r="AJ98">
        <f>TRUNC(AD79*AE$145)</f>
        <v>0</v>
      </c>
      <c r="AK98">
        <f>AD79*AE$145-AJ98</f>
        <v>0</v>
      </c>
      <c r="AL98">
        <f>RANK(AK98,AK98:AK102)</f>
        <v>1</v>
      </c>
    </row>
    <row r="99" spans="2:38" ht="15" customHeight="1" x14ac:dyDescent="0.15">
      <c r="N99" s="62">
        <v>2</v>
      </c>
      <c r="O99" s="344">
        <f>IF(SUM(Q80:T80)=0,0,SUM(Q80:T80))</f>
        <v>0</v>
      </c>
      <c r="P99" s="344">
        <f>IF(O99=0,0,IF(AND(B$86&lt;&gt;0,D80&lt;=C$86),B80+D$86,B80))</f>
        <v>0</v>
      </c>
      <c r="Q99" s="344">
        <f>O99</f>
        <v>0</v>
      </c>
      <c r="R99" s="344">
        <f>IF(Q99=0,0,IF(AND(F$86&lt;&gt;0,H80&lt;=G$86),F80+H$86,F80))</f>
        <v>0</v>
      </c>
      <c r="S99" s="350">
        <v>0</v>
      </c>
      <c r="T99" s="351">
        <v>0</v>
      </c>
      <c r="U99" s="351">
        <f>IF(S99+T99=0,0,S99+T99)</f>
        <v>0</v>
      </c>
      <c r="V99" s="345">
        <f>SUM(R80:S80,P99,R99,U99)</f>
        <v>0</v>
      </c>
      <c r="W99" s="607"/>
      <c r="X99" s="607"/>
      <c r="Y99" s="608"/>
      <c r="Z99" s="608"/>
      <c r="AF99">
        <f>IF(AND(AK$103&lt;&gt;0,AL99&lt;=AK$104),AJ99+AL$104,AJ99)</f>
        <v>0</v>
      </c>
      <c r="AG99" s="114"/>
      <c r="AH99">
        <f>SUM(AF99:AG99,AC80)</f>
        <v>0</v>
      </c>
      <c r="AJ99">
        <f>TRUNC(AD80*AE$145)</f>
        <v>0</v>
      </c>
      <c r="AK99">
        <f>AD80*AE$145-AJ99</f>
        <v>0</v>
      </c>
      <c r="AL99">
        <f>RANK(AK99,AK98:AK102)</f>
        <v>1</v>
      </c>
    </row>
    <row r="100" spans="2:38" ht="15" customHeight="1" x14ac:dyDescent="0.15">
      <c r="N100" s="62">
        <v>3</v>
      </c>
      <c r="O100" s="344">
        <f>IF(SUM(Q81:T81)=0,0,SUM(Q81:T81))</f>
        <v>0</v>
      </c>
      <c r="P100" s="344">
        <f>IF(O100=0,0,IF(AND(B$86&lt;&gt;0,D81&lt;=C$86),B81+D$86,B81))</f>
        <v>0</v>
      </c>
      <c r="Q100" s="344">
        <f>O100</f>
        <v>0</v>
      </c>
      <c r="R100" s="344">
        <f>IF(Q100=0,0,IF(AND(F$86&lt;&gt;0,H81&lt;=G$86),F81+H$86,F81))</f>
        <v>0</v>
      </c>
      <c r="S100" s="350">
        <v>0</v>
      </c>
      <c r="T100" s="351">
        <v>0</v>
      </c>
      <c r="U100" s="351">
        <f>IF(S100+T100=0,0,S100+T100)</f>
        <v>0</v>
      </c>
      <c r="V100" s="345">
        <f>SUM(R81:S81,P100,R100,U100)</f>
        <v>0</v>
      </c>
      <c r="W100" s="607"/>
      <c r="X100" s="607"/>
      <c r="Y100" s="608"/>
      <c r="Z100" s="608"/>
      <c r="AF100">
        <f>IF(AND(AK$103&lt;&gt;0,AL100&lt;=AK$104),AJ100+AL$104,AJ100)</f>
        <v>0</v>
      </c>
      <c r="AH100">
        <f>SUM(AF100:AG100,AC81)</f>
        <v>0</v>
      </c>
      <c r="AJ100">
        <f>TRUNC(AD81*AE$145)</f>
        <v>0</v>
      </c>
      <c r="AK100">
        <f>AD81*AE$145-AJ100</f>
        <v>0</v>
      </c>
      <c r="AL100">
        <f>RANK(AK100,AK98:AK102)</f>
        <v>1</v>
      </c>
    </row>
    <row r="101" spans="2:38" ht="15" customHeight="1" x14ac:dyDescent="0.15">
      <c r="B101" t="s">
        <v>135</v>
      </c>
      <c r="N101" s="62">
        <v>4</v>
      </c>
      <c r="O101" s="344">
        <f>IF(SUM(Q82:T82)=0,0,SUM(Q82:T82))</f>
        <v>0</v>
      </c>
      <c r="P101" s="344">
        <f>IF(O101=0,0,IF(AND(B$86&lt;&gt;0,D82&lt;=C$86),B82+D$86,B82))</f>
        <v>0</v>
      </c>
      <c r="Q101" s="344">
        <f>O101</f>
        <v>0</v>
      </c>
      <c r="R101" s="344">
        <f>IF(Q101=0,0,IF(AND(F$86&lt;&gt;0,H82&lt;=G$86),F82+H$86,F82))</f>
        <v>0</v>
      </c>
      <c r="S101" s="350">
        <v>0</v>
      </c>
      <c r="T101" s="351">
        <v>0</v>
      </c>
      <c r="U101" s="351">
        <f>IF(S101+T101=0,0,S101+T101)</f>
        <v>0</v>
      </c>
      <c r="V101" s="345">
        <f>SUM(R82:S82,P101,R101,U101)</f>
        <v>0</v>
      </c>
      <c r="W101" s="607"/>
      <c r="X101" s="607"/>
      <c r="Y101" s="608"/>
      <c r="Z101" s="608"/>
      <c r="AF101">
        <f>IF(AND(AK$103&lt;&gt;0,AL101&lt;=AK$104),AJ101+AL$104,AJ101)</f>
        <v>0</v>
      </c>
      <c r="AH101">
        <f>SUM(AF101:AG101,AC82)</f>
        <v>0</v>
      </c>
      <c r="AJ101">
        <f>TRUNC(AD82*AE$145)</f>
        <v>0</v>
      </c>
      <c r="AK101">
        <f>AD82*AE$145-AJ101</f>
        <v>0</v>
      </c>
      <c r="AL101">
        <f>RANK(AK101,AK98:AK102)</f>
        <v>1</v>
      </c>
    </row>
    <row r="102" spans="2:38" ht="15" customHeight="1" x14ac:dyDescent="0.15">
      <c r="B102" t="s">
        <v>139</v>
      </c>
      <c r="N102" s="260">
        <v>5</v>
      </c>
      <c r="O102" s="261">
        <f>IF(SUM(Q83:T83)=0,0,SUM(Q83:T83))</f>
        <v>0</v>
      </c>
      <c r="P102" s="261">
        <f>IF(O102=0,0,IF(AND(B$86&lt;&gt;0,D83&lt;=C$86),B83+D$86,B83))</f>
        <v>0</v>
      </c>
      <c r="Q102" s="261">
        <f>O102</f>
        <v>0</v>
      </c>
      <c r="R102" s="261">
        <f>IF(Q102=0,0,IF(AND(F$86&lt;&gt;0,H83&lt;=G$86),F83+H$86,F83))</f>
        <v>0</v>
      </c>
      <c r="S102" s="335"/>
      <c r="T102" s="336"/>
      <c r="U102" s="336"/>
      <c r="V102" s="262">
        <f>SUM(R83:S83,P102,R102,U102)</f>
        <v>0</v>
      </c>
      <c r="W102" s="606"/>
      <c r="X102" s="606"/>
      <c r="Y102" s="382"/>
      <c r="Z102" s="382"/>
      <c r="AF102">
        <f>IF(AND(AK$103&lt;&gt;0,AL102&lt;=AK$104),AJ102+AL$104,AJ102)</f>
        <v>0</v>
      </c>
      <c r="AH102">
        <f>SUM(AF102:AG102,AC83)</f>
        <v>0</v>
      </c>
      <c r="AJ102">
        <f>TRUNC(AD83*AE$145)</f>
        <v>0</v>
      </c>
      <c r="AK102">
        <f>AD83*AE$145-AJ102</f>
        <v>0</v>
      </c>
      <c r="AL102">
        <f>RANK(AK102,AK98:AK102)</f>
        <v>1</v>
      </c>
    </row>
    <row r="103" spans="2:38" ht="15" customHeight="1" x14ac:dyDescent="0.15">
      <c r="B103" s="5">
        <f>TRUNC(R117*S$151,0)</f>
        <v>0</v>
      </c>
      <c r="C103" s="2">
        <f>R117*S$151-B103</f>
        <v>0</v>
      </c>
      <c r="D103" s="95" t="e">
        <f t="shared" ref="D103:D107" si="44">RANK(C103,C$103:C$112)</f>
        <v>#REF!</v>
      </c>
      <c r="N103" s="62">
        <v>6</v>
      </c>
      <c r="O103" s="41"/>
      <c r="P103" s="41"/>
      <c r="Q103" s="41"/>
      <c r="R103" s="41"/>
      <c r="S103" s="41"/>
      <c r="T103" s="41"/>
      <c r="U103" s="41"/>
      <c r="V103" s="63"/>
      <c r="W103" s="382"/>
      <c r="X103" s="382"/>
      <c r="Y103" s="382"/>
      <c r="Z103" s="382"/>
      <c r="AJ103" s="100" t="s">
        <v>290</v>
      </c>
      <c r="AK103" s="238">
        <f>AF109-SUM(AJ98:AJ102)</f>
        <v>0</v>
      </c>
    </row>
    <row r="104" spans="2:38" ht="15" customHeight="1" x14ac:dyDescent="0.15">
      <c r="B104" s="10">
        <f>TRUNC(R118*S$151,0)</f>
        <v>0</v>
      </c>
      <c r="C104" s="21">
        <f>R118*S$151-B104</f>
        <v>0</v>
      </c>
      <c r="D104" s="96" t="e">
        <f t="shared" si="44"/>
        <v>#REF!</v>
      </c>
      <c r="N104" s="62">
        <v>7</v>
      </c>
      <c r="O104" s="41"/>
      <c r="P104" s="41"/>
      <c r="Q104" s="41"/>
      <c r="R104" s="41"/>
      <c r="S104" s="41"/>
      <c r="T104" s="41"/>
      <c r="U104" s="41"/>
      <c r="V104" s="63"/>
      <c r="W104" s="382"/>
      <c r="X104" s="382"/>
      <c r="Y104" s="382"/>
      <c r="Z104" s="382"/>
      <c r="AK104" s="238">
        <f>ABS(AK103)</f>
        <v>0</v>
      </c>
      <c r="AL104" s="238">
        <f>IF(AK103=0,0,AK103/AK104)</f>
        <v>0</v>
      </c>
    </row>
    <row r="105" spans="2:38" ht="15" customHeight="1" x14ac:dyDescent="0.15">
      <c r="B105" s="10">
        <f>TRUNC(R119*S$151,0)</f>
        <v>0</v>
      </c>
      <c r="C105" s="21">
        <f>R119*S$151-B105</f>
        <v>0</v>
      </c>
      <c r="D105" s="96" t="e">
        <f t="shared" si="44"/>
        <v>#REF!</v>
      </c>
      <c r="N105" s="62">
        <v>8</v>
      </c>
      <c r="O105" s="41"/>
      <c r="P105" s="41"/>
      <c r="Q105" s="41"/>
      <c r="R105" s="41"/>
      <c r="S105" s="41"/>
      <c r="T105" s="41"/>
      <c r="U105" s="41"/>
      <c r="V105" s="63"/>
      <c r="W105" s="382"/>
      <c r="X105" s="382"/>
      <c r="Y105" s="382"/>
      <c r="Z105" s="382"/>
    </row>
    <row r="106" spans="2:38" ht="15" customHeight="1" x14ac:dyDescent="0.15">
      <c r="B106" s="10">
        <f>TRUNC(R120*S$151,0)</f>
        <v>0</v>
      </c>
      <c r="C106" s="21">
        <f>R120*S$151-B106</f>
        <v>0</v>
      </c>
      <c r="D106" s="96" t="e">
        <f t="shared" si="44"/>
        <v>#REF!</v>
      </c>
      <c r="N106" s="62">
        <v>9</v>
      </c>
      <c r="O106" s="41"/>
      <c r="P106" s="41"/>
      <c r="Q106" s="41"/>
      <c r="R106" s="41"/>
      <c r="S106" s="41"/>
      <c r="T106" s="41"/>
      <c r="U106" s="41"/>
      <c r="V106" s="63"/>
      <c r="W106" s="382"/>
      <c r="X106" s="382"/>
      <c r="Y106" s="382"/>
      <c r="Z106" s="382"/>
    </row>
    <row r="107" spans="2:38" ht="15" customHeight="1" thickBot="1" x14ac:dyDescent="0.2">
      <c r="B107" s="10">
        <f>TRUNC(R121*S$151,0)</f>
        <v>0</v>
      </c>
      <c r="C107" s="21">
        <f>R121*S$151-B107</f>
        <v>0</v>
      </c>
      <c r="D107" s="96" t="e">
        <f t="shared" si="44"/>
        <v>#REF!</v>
      </c>
      <c r="N107" s="66">
        <v>10</v>
      </c>
      <c r="O107" s="44"/>
      <c r="P107" s="44"/>
      <c r="Q107" s="44"/>
      <c r="R107" s="44"/>
      <c r="S107" s="44"/>
      <c r="T107" s="44"/>
      <c r="U107" s="44"/>
      <c r="V107" s="67"/>
      <c r="W107" s="382"/>
      <c r="X107" s="382"/>
      <c r="Y107" s="382"/>
      <c r="Z107" s="382"/>
    </row>
    <row r="108" spans="2:38" ht="15" customHeight="1" thickTop="1" x14ac:dyDescent="0.15">
      <c r="B108" s="5" t="e">
        <f>TRUNC(R50*S$73,0)</f>
        <v>#REF!</v>
      </c>
      <c r="C108" s="2" t="e">
        <f>R50*S$73-B108</f>
        <v>#REF!</v>
      </c>
      <c r="D108" s="95" t="e">
        <f>RANK(C108,C$103:C$114)</f>
        <v>#REF!</v>
      </c>
      <c r="F108" s="5"/>
      <c r="G108" s="2"/>
      <c r="H108" s="95"/>
      <c r="N108" s="23"/>
      <c r="O108" s="195"/>
      <c r="P108" s="195"/>
      <c r="Q108" s="195"/>
      <c r="R108" s="195"/>
      <c r="S108" s="195"/>
      <c r="T108" s="195"/>
      <c r="U108" s="202"/>
      <c r="V108" s="201"/>
      <c r="W108" s="609"/>
      <c r="X108" s="609"/>
      <c r="Y108" s="609"/>
      <c r="Z108" s="609"/>
    </row>
    <row r="109" spans="2:38" ht="15" customHeight="1" thickBot="1" x14ac:dyDescent="0.2">
      <c r="B109" s="10" t="e">
        <f>TRUNC(R51*S$73,0)</f>
        <v>#REF!</v>
      </c>
      <c r="C109" s="21" t="e">
        <f>R51*S$73-B109</f>
        <v>#REF!</v>
      </c>
      <c r="D109" s="95" t="e">
        <f t="shared" ref="D109:D114" si="45">RANK(C109,C$103:C$114)</f>
        <v>#REF!</v>
      </c>
      <c r="F109" s="10"/>
      <c r="G109" s="21"/>
      <c r="H109" s="96"/>
      <c r="N109" s="68" t="s">
        <v>102</v>
      </c>
      <c r="O109" s="348">
        <f>IF(SUM(O98:O107)=0,0,SUM(O98:O107))</f>
        <v>0</v>
      </c>
      <c r="P109" s="348">
        <f>TRUNC(O109*S145/100)</f>
        <v>0</v>
      </c>
      <c r="Q109" s="348">
        <f>IF(O109+P109=0,0,O109+P109)</f>
        <v>0</v>
      </c>
      <c r="R109" s="348">
        <f>TRUNC(Q109*S147)</f>
        <v>0</v>
      </c>
      <c r="S109" s="352">
        <f>IF(SUM(S98:S107)=0,0,SUM(S98:S107))</f>
        <v>0</v>
      </c>
      <c r="T109" s="352">
        <f>IF(SUM(T98:T107)=0,0,SUM(T98:T107))</f>
        <v>0</v>
      </c>
      <c r="U109" s="352">
        <f>IF(S109+T109=0,0,S109+T109)</f>
        <v>0</v>
      </c>
      <c r="V109" s="349">
        <f>SUM(R90:S90,P109,R109,U109)</f>
        <v>0</v>
      </c>
      <c r="W109" s="607"/>
      <c r="X109" s="607"/>
      <c r="Y109" s="608"/>
      <c r="Z109" s="607"/>
      <c r="AF109">
        <f>TRUNC(AD90*AE145)</f>
        <v>0</v>
      </c>
      <c r="AG109" s="234">
        <f>SUM(AG99:AG102)</f>
        <v>0</v>
      </c>
      <c r="AH109" s="234">
        <f>SUM(AH99:AH102)</f>
        <v>0</v>
      </c>
    </row>
    <row r="110" spans="2:38" x14ac:dyDescent="0.15">
      <c r="B110" s="10" t="e">
        <f>TRUNC(R52*S$73,0)</f>
        <v>#REF!</v>
      </c>
      <c r="C110" s="21" t="e">
        <f>R52*S$73-B110</f>
        <v>#REF!</v>
      </c>
      <c r="D110" s="95" t="e">
        <f t="shared" si="45"/>
        <v>#REF!</v>
      </c>
      <c r="F110" s="10"/>
      <c r="G110" s="21"/>
      <c r="H110" s="96"/>
    </row>
    <row r="111" spans="2:38" ht="14.25" thickBot="1" x14ac:dyDescent="0.2">
      <c r="B111" s="10" t="e">
        <f>TRUNC(R53*S$73,0)</f>
        <v>#REF!</v>
      </c>
      <c r="C111" s="21" t="e">
        <f>R53*S$73-B111</f>
        <v>#REF!</v>
      </c>
      <c r="D111" s="95" t="e">
        <f t="shared" si="45"/>
        <v>#REF!</v>
      </c>
      <c r="F111" s="10"/>
      <c r="G111" s="21"/>
      <c r="H111" s="96"/>
      <c r="N111" t="s">
        <v>180</v>
      </c>
    </row>
    <row r="112" spans="2:38" x14ac:dyDescent="0.15">
      <c r="B112" s="43" t="e">
        <f>TRUNC(R54*S$73,0)</f>
        <v>#REF!</v>
      </c>
      <c r="C112" s="97" t="e">
        <f>R54*S$73-B112</f>
        <v>#REF!</v>
      </c>
      <c r="D112" s="95" t="e">
        <f t="shared" si="45"/>
        <v>#REF!</v>
      </c>
      <c r="F112" s="43"/>
      <c r="G112" s="97"/>
      <c r="H112" s="98"/>
      <c r="N112" s="57"/>
      <c r="O112" s="47" t="s">
        <v>181</v>
      </c>
      <c r="P112" s="47" t="s">
        <v>138</v>
      </c>
      <c r="Q112" s="47" t="s">
        <v>182</v>
      </c>
      <c r="R112" s="47" t="s">
        <v>183</v>
      </c>
      <c r="S112" s="47" t="s">
        <v>139</v>
      </c>
      <c r="T112" s="47" t="s">
        <v>184</v>
      </c>
      <c r="U112" s="47" t="s">
        <v>185</v>
      </c>
      <c r="V112" s="58" t="s">
        <v>186</v>
      </c>
    </row>
    <row r="113" spans="2:34" x14ac:dyDescent="0.15">
      <c r="B113" s="43" t="e">
        <f t="shared" ref="B113:B114" si="46">TRUNC(R55*S$73,0)</f>
        <v>#REF!</v>
      </c>
      <c r="C113" s="97" t="e">
        <f t="shared" ref="C113:C114" si="47">R55*S$73-B113</f>
        <v>#REF!</v>
      </c>
      <c r="D113" s="95" t="e">
        <f t="shared" si="45"/>
        <v>#REF!</v>
      </c>
      <c r="F113" s="10"/>
      <c r="G113" s="21"/>
      <c r="H113" s="96"/>
      <c r="N113" s="24"/>
      <c r="O113" s="6"/>
      <c r="P113" s="6"/>
      <c r="Q113" s="6"/>
      <c r="R113" s="6"/>
      <c r="S113" s="6"/>
      <c r="T113" s="6"/>
      <c r="U113" s="6"/>
      <c r="V113" s="69"/>
    </row>
    <row r="114" spans="2:34" x14ac:dyDescent="0.15">
      <c r="B114" s="43" t="e">
        <f t="shared" si="46"/>
        <v>#REF!</v>
      </c>
      <c r="C114" s="97" t="e">
        <f t="shared" si="47"/>
        <v>#REF!</v>
      </c>
      <c r="D114" s="95" t="e">
        <f t="shared" si="45"/>
        <v>#REF!</v>
      </c>
      <c r="F114" s="10"/>
      <c r="G114" s="21"/>
      <c r="H114" s="96"/>
      <c r="N114" s="24"/>
      <c r="O114" s="6"/>
      <c r="P114" s="6"/>
      <c r="Q114" s="6"/>
      <c r="R114" s="6"/>
      <c r="S114" s="6"/>
      <c r="T114" s="6"/>
      <c r="U114" s="6"/>
      <c r="V114" s="69"/>
    </row>
    <row r="115" spans="2:34" x14ac:dyDescent="0.15">
      <c r="B115" s="10" t="e">
        <f>SUM(B103:B114)</f>
        <v>#REF!</v>
      </c>
      <c r="C115" s="21"/>
      <c r="D115" s="96"/>
      <c r="F115" s="10"/>
      <c r="G115" s="21"/>
      <c r="H115" s="96"/>
      <c r="N115" s="24" t="s">
        <v>97</v>
      </c>
      <c r="O115" s="6" t="s">
        <v>187</v>
      </c>
      <c r="P115" s="6" t="s">
        <v>188</v>
      </c>
      <c r="Q115" s="6" t="s">
        <v>189</v>
      </c>
      <c r="R115" s="6" t="s">
        <v>190</v>
      </c>
      <c r="S115" s="6" t="s">
        <v>191</v>
      </c>
      <c r="T115" s="6" t="s">
        <v>192</v>
      </c>
      <c r="U115" s="6" t="s">
        <v>193</v>
      </c>
      <c r="V115" s="69" t="s">
        <v>194</v>
      </c>
    </row>
    <row r="116" spans="2:34" ht="14.25" thickBot="1" x14ac:dyDescent="0.2">
      <c r="B116" s="401" t="e">
        <f>S61-B115</f>
        <v>#REF!</v>
      </c>
      <c r="C116" s="3" t="e">
        <f>ABS(B116)</f>
        <v>#REF!</v>
      </c>
      <c r="D116" s="80" t="e">
        <f>IF(S61=B115,0,B116/C116)</f>
        <v>#REF!</v>
      </c>
      <c r="F116" s="401"/>
      <c r="G116" s="3"/>
      <c r="H116" s="80"/>
      <c r="N116" s="60"/>
      <c r="O116" s="39" t="s">
        <v>748</v>
      </c>
      <c r="P116" s="39" t="s">
        <v>282</v>
      </c>
      <c r="Q116" s="39"/>
      <c r="R116" s="39" t="s">
        <v>195</v>
      </c>
      <c r="S116" s="39" t="s">
        <v>281</v>
      </c>
      <c r="T116" s="39" t="s">
        <v>280</v>
      </c>
      <c r="U116" s="39" t="s">
        <v>749</v>
      </c>
      <c r="V116" s="70" t="s">
        <v>750</v>
      </c>
      <c r="AB116" t="s">
        <v>138</v>
      </c>
      <c r="AC116" t="s">
        <v>182</v>
      </c>
      <c r="AF116" t="s">
        <v>293</v>
      </c>
    </row>
    <row r="117" spans="2:34" ht="15" customHeight="1" thickTop="1" x14ac:dyDescent="0.15">
      <c r="N117" s="72">
        <v>1</v>
      </c>
      <c r="O117" s="74">
        <f>IF(Q79+V98=0,0,Q79+V98)</f>
        <v>0</v>
      </c>
      <c r="P117" s="74">
        <f>IF(O117=0,0,IF(AND(J$86&lt;&gt;0,L79&lt;=K$86),J79+L$86,J79))</f>
        <v>0</v>
      </c>
      <c r="Q117" s="74"/>
      <c r="R117" s="263">
        <f>IF(O117=0,0,+O117+P117+Q117)</f>
        <v>0</v>
      </c>
      <c r="S117" s="263">
        <f t="shared" ref="S117" si="48">SUM(X50:Y50)</f>
        <v>0</v>
      </c>
      <c r="T117" s="263">
        <f t="shared" ref="T117:T122" si="49">SUM(R117:S117)</f>
        <v>0</v>
      </c>
      <c r="U117" s="264">
        <f t="shared" ref="U117:U122" si="50">T117*0.05</f>
        <v>0</v>
      </c>
      <c r="V117" s="265">
        <f t="shared" ref="V117:V122" si="51">T117+U117</f>
        <v>0</v>
      </c>
      <c r="AB117">
        <f>IF(AND(AG$122&lt;&gt;0,AH117&lt;=AG$123),AF117+AH$123,AF117)</f>
        <v>0</v>
      </c>
      <c r="AF117">
        <f>TRUNC((AB79+AH98)*AE147)</f>
        <v>0</v>
      </c>
      <c r="AG117">
        <f>(AB79+AH98)*AE147-AF117</f>
        <v>0</v>
      </c>
      <c r="AH117">
        <f>RANK(AG117,$AG117:$AG121)</f>
        <v>1</v>
      </c>
    </row>
    <row r="118" spans="2:34" ht="15" customHeight="1" x14ac:dyDescent="0.15">
      <c r="N118" s="72">
        <v>2</v>
      </c>
      <c r="O118" s="353">
        <f>IF(Q80+V99=0,0,Q80+V99)</f>
        <v>0</v>
      </c>
      <c r="P118" s="353">
        <f>IF(O118=0,0,IF(AND(J$86&lt;&gt;0,L80&lt;=K$86),J80+L$86,J80))</f>
        <v>0</v>
      </c>
      <c r="Q118" s="353"/>
      <c r="R118" s="354">
        <f>IF(O118=0,0,+O118+P118+Q118)</f>
        <v>0</v>
      </c>
      <c r="S118" s="354">
        <f t="shared" ref="S118:S126" si="52">SUM(X51:Y51)</f>
        <v>0</v>
      </c>
      <c r="T118" s="354">
        <f t="shared" si="49"/>
        <v>0</v>
      </c>
      <c r="U118" s="355">
        <f t="shared" si="50"/>
        <v>0</v>
      </c>
      <c r="V118" s="356">
        <f t="shared" si="51"/>
        <v>0</v>
      </c>
      <c r="AB118">
        <f>IF(AND(AG$122&lt;&gt;0,AH118&lt;=AG$123),AF118+AH$123,AF118)</f>
        <v>0</v>
      </c>
      <c r="AC118" s="114">
        <v>0</v>
      </c>
      <c r="AF118">
        <f>TRUNC((AB80+AH99)*AE147)</f>
        <v>0</v>
      </c>
      <c r="AG118">
        <f>(AB80+AH99)*AE147-AF118</f>
        <v>0</v>
      </c>
      <c r="AH118">
        <f>RANK(AG118,$AG117:$AG121)</f>
        <v>1</v>
      </c>
    </row>
    <row r="119" spans="2:34" ht="15" customHeight="1" x14ac:dyDescent="0.15">
      <c r="N119" s="72">
        <v>3</v>
      </c>
      <c r="O119" s="353">
        <f>IF(Q81+V100=0,0,Q81+V100)</f>
        <v>0</v>
      </c>
      <c r="P119" s="353">
        <f>IF(O119=0,0,IF(AND(J$86&lt;&gt;0,L81&lt;=K$86),J81+L$86,J81))</f>
        <v>0</v>
      </c>
      <c r="Q119" s="353"/>
      <c r="R119" s="354">
        <f>IF(O119=0,0,+O119+P119+Q119)</f>
        <v>0</v>
      </c>
      <c r="S119" s="354">
        <f t="shared" si="52"/>
        <v>0</v>
      </c>
      <c r="T119" s="354">
        <f t="shared" si="49"/>
        <v>0</v>
      </c>
      <c r="U119" s="355">
        <f t="shared" si="50"/>
        <v>0</v>
      </c>
      <c r="V119" s="356">
        <f t="shared" si="51"/>
        <v>0</v>
      </c>
      <c r="AB119">
        <f>IF(AND(AG$122&lt;&gt;0,AH119&lt;=AG$123),AF119+AH$123,AF119)</f>
        <v>0</v>
      </c>
      <c r="AF119">
        <f>TRUNC((AB81+AH100)*AE147)</f>
        <v>0</v>
      </c>
      <c r="AG119">
        <f>(AB81+AH100)*AE147-AF119</f>
        <v>0</v>
      </c>
      <c r="AH119">
        <f>RANK(AG119,$AG117:$AG121)</f>
        <v>1</v>
      </c>
    </row>
    <row r="120" spans="2:34" ht="15" customHeight="1" x14ac:dyDescent="0.15">
      <c r="N120" s="72">
        <v>4</v>
      </c>
      <c r="O120" s="353">
        <f>IF(Q82+V101=0,0,Q82+V101)</f>
        <v>0</v>
      </c>
      <c r="P120" s="353">
        <f>IF(O120=0,0,IF(AND(J$86&lt;&gt;0,L82&lt;=K$86),J82+L$86,J82))</f>
        <v>0</v>
      </c>
      <c r="Q120" s="353"/>
      <c r="R120" s="354">
        <f>IF(O120=0,0,+O120+P120+Q120)</f>
        <v>0</v>
      </c>
      <c r="S120" s="354">
        <f t="shared" si="52"/>
        <v>0</v>
      </c>
      <c r="T120" s="354">
        <f t="shared" si="49"/>
        <v>0</v>
      </c>
      <c r="U120" s="355">
        <f t="shared" si="50"/>
        <v>0</v>
      </c>
      <c r="V120" s="356">
        <f t="shared" si="51"/>
        <v>0</v>
      </c>
      <c r="AB120">
        <f>IF(AND(AG$122&lt;&gt;0,AH120&lt;=AG$123),AF120+AH$123,AF120)</f>
        <v>0</v>
      </c>
      <c r="AF120">
        <f>TRUNC((AB82+AH101)*AE147)</f>
        <v>0</v>
      </c>
      <c r="AG120">
        <f>(AB82+AH101)*AE147-AF120</f>
        <v>0</v>
      </c>
      <c r="AH120">
        <f>RANK(AG120,$AG117:$AG121)</f>
        <v>1</v>
      </c>
    </row>
    <row r="121" spans="2:34" ht="15" customHeight="1" x14ac:dyDescent="0.15">
      <c r="N121" s="260">
        <v>5</v>
      </c>
      <c r="O121" s="337">
        <f>IF(Q83+V102=0,0,Q83+V102)</f>
        <v>0</v>
      </c>
      <c r="P121" s="337">
        <f>IF(O121=0,0,IF(AND(J$86&lt;&gt;0,L83&lt;=K$86),J83+L$86,J83))</f>
        <v>0</v>
      </c>
      <c r="Q121" s="337"/>
      <c r="R121" s="338">
        <f>IF(O121=0,0,+O121+P121+Q121)</f>
        <v>0</v>
      </c>
      <c r="S121" s="338">
        <f t="shared" si="52"/>
        <v>0</v>
      </c>
      <c r="T121" s="338">
        <f t="shared" si="49"/>
        <v>0</v>
      </c>
      <c r="U121" s="339">
        <f t="shared" si="50"/>
        <v>0</v>
      </c>
      <c r="V121" s="340">
        <f t="shared" si="51"/>
        <v>0</v>
      </c>
      <c r="AB121">
        <f>IF(AND(AG$122&lt;&gt;0,AH121&lt;=AG$123),AF121+AH$123,AF121)</f>
        <v>0</v>
      </c>
      <c r="AF121">
        <f>TRUNC((AB83+AH102)*AE147)</f>
        <v>0</v>
      </c>
      <c r="AG121">
        <f>(AB83+AH102)*AE147-AF121</f>
        <v>0</v>
      </c>
      <c r="AH121">
        <f>RANK(AG121,$AG117:$AG121)</f>
        <v>1</v>
      </c>
    </row>
    <row r="122" spans="2:34" ht="15" customHeight="1" x14ac:dyDescent="0.15">
      <c r="N122" s="62">
        <v>6</v>
      </c>
      <c r="O122" s="74"/>
      <c r="P122" s="74"/>
      <c r="Q122" s="74"/>
      <c r="R122" s="263">
        <f t="shared" ref="R122" si="53">V33</f>
        <v>0</v>
      </c>
      <c r="S122" s="263">
        <f t="shared" si="52"/>
        <v>0</v>
      </c>
      <c r="T122" s="263">
        <f t="shared" si="49"/>
        <v>0</v>
      </c>
      <c r="U122" s="264">
        <f t="shared" si="50"/>
        <v>0</v>
      </c>
      <c r="V122" s="265">
        <f t="shared" si="51"/>
        <v>0</v>
      </c>
      <c r="AF122" s="100" t="s">
        <v>290</v>
      </c>
      <c r="AG122" s="238">
        <f>AB139-SUM(AF117:AF121)</f>
        <v>0</v>
      </c>
    </row>
    <row r="123" spans="2:34" ht="15" customHeight="1" x14ac:dyDescent="0.15">
      <c r="N123" s="72">
        <v>7</v>
      </c>
      <c r="O123" s="74"/>
      <c r="P123" s="74"/>
      <c r="Q123" s="74"/>
      <c r="R123" s="263">
        <f>V34</f>
        <v>3265</v>
      </c>
      <c r="S123" s="263" t="e">
        <f t="shared" si="52"/>
        <v>#REF!</v>
      </c>
      <c r="T123" s="263" t="e">
        <f>SUM(R123:S123)</f>
        <v>#REF!</v>
      </c>
      <c r="U123" s="264" t="e">
        <f>T123*0.05</f>
        <v>#REF!</v>
      </c>
      <c r="V123" s="265" t="e">
        <f>T123+U123</f>
        <v>#REF!</v>
      </c>
      <c r="AG123" s="238">
        <f>ABS(AG122)</f>
        <v>0</v>
      </c>
      <c r="AH123" s="238">
        <f>IF(AG122=0,0,AG122/AG123)</f>
        <v>0</v>
      </c>
    </row>
    <row r="124" spans="2:34" ht="15" customHeight="1" x14ac:dyDescent="0.15">
      <c r="N124" s="72">
        <v>8</v>
      </c>
      <c r="O124" s="74"/>
      <c r="P124" s="74"/>
      <c r="Q124" s="74"/>
      <c r="R124" s="263">
        <f>V35</f>
        <v>5432</v>
      </c>
      <c r="S124" s="263" t="e">
        <f t="shared" si="52"/>
        <v>#REF!</v>
      </c>
      <c r="T124" s="263" t="e">
        <f>SUM(R124:S124)</f>
        <v>#REF!</v>
      </c>
      <c r="U124" s="264" t="e">
        <f>T124*0.05</f>
        <v>#REF!</v>
      </c>
      <c r="V124" s="265" t="e">
        <f>T124+U124</f>
        <v>#REF!</v>
      </c>
    </row>
    <row r="125" spans="2:34" ht="15" customHeight="1" x14ac:dyDescent="0.15">
      <c r="N125" s="72">
        <v>9</v>
      </c>
      <c r="O125" s="74"/>
      <c r="P125" s="74"/>
      <c r="Q125" s="74"/>
      <c r="R125" s="263">
        <f>V36</f>
        <v>11414</v>
      </c>
      <c r="S125" s="263" t="e">
        <f t="shared" si="52"/>
        <v>#REF!</v>
      </c>
      <c r="T125" s="263" t="e">
        <f>SUM(R125:S125)</f>
        <v>#REF!</v>
      </c>
      <c r="U125" s="264" t="e">
        <f>T125*0.05</f>
        <v>#REF!</v>
      </c>
      <c r="V125" s="265" t="e">
        <f>T125+U125</f>
        <v>#REF!</v>
      </c>
    </row>
    <row r="126" spans="2:34" ht="15" customHeight="1" thickBot="1" x14ac:dyDescent="0.2">
      <c r="N126" s="73">
        <v>10</v>
      </c>
      <c r="O126" s="75"/>
      <c r="P126" s="75"/>
      <c r="Q126" s="75"/>
      <c r="R126" s="266">
        <f>V37</f>
        <v>6468</v>
      </c>
      <c r="S126" s="266" t="e">
        <f t="shared" si="52"/>
        <v>#REF!</v>
      </c>
      <c r="T126" s="266" t="e">
        <f>SUM(R126:S126)</f>
        <v>#REF!</v>
      </c>
      <c r="U126" s="267" t="e">
        <f>T126*0.05</f>
        <v>#REF!</v>
      </c>
      <c r="V126" s="268" t="e">
        <f>T126+U126</f>
        <v>#REF!</v>
      </c>
    </row>
    <row r="127" spans="2:34" ht="15" customHeight="1" thickTop="1" thickBot="1" x14ac:dyDescent="0.2">
      <c r="N127" s="73"/>
      <c r="O127" s="75"/>
      <c r="P127" s="75"/>
      <c r="Q127" s="75"/>
      <c r="R127" s="266">
        <f t="shared" ref="R127:R131" si="54">V38</f>
        <v>13042</v>
      </c>
      <c r="S127" s="266" t="e">
        <f t="shared" ref="S127:S131" si="55">SUM(X60:Y60)</f>
        <v>#REF!</v>
      </c>
      <c r="T127" s="266" t="e">
        <f t="shared" ref="T127:T131" si="56">SUM(R127:S127)</f>
        <v>#REF!</v>
      </c>
      <c r="U127" s="267" t="e">
        <f t="shared" ref="U127:U131" si="57">T127*0.05</f>
        <v>#REF!</v>
      </c>
      <c r="V127" s="268" t="e">
        <f t="shared" ref="V127:V131" si="58">T127+U127</f>
        <v>#REF!</v>
      </c>
    </row>
    <row r="128" spans="2:34" ht="15" customHeight="1" thickTop="1" thickBot="1" x14ac:dyDescent="0.2">
      <c r="N128" s="73"/>
      <c r="O128" s="75"/>
      <c r="P128" s="75"/>
      <c r="Q128" s="75"/>
      <c r="R128" s="266">
        <f t="shared" si="54"/>
        <v>0</v>
      </c>
      <c r="S128" s="266">
        <f t="shared" si="55"/>
        <v>0</v>
      </c>
      <c r="T128" s="266">
        <f t="shared" si="56"/>
        <v>0</v>
      </c>
      <c r="U128" s="267">
        <f t="shared" si="57"/>
        <v>0</v>
      </c>
      <c r="V128" s="268">
        <f t="shared" si="58"/>
        <v>0</v>
      </c>
    </row>
    <row r="129" spans="14:29" ht="15" customHeight="1" thickTop="1" thickBot="1" x14ac:dyDescent="0.2">
      <c r="N129" s="73"/>
      <c r="O129" s="75"/>
      <c r="P129" s="75"/>
      <c r="Q129" s="75"/>
      <c r="R129" s="266">
        <f t="shared" si="54"/>
        <v>0</v>
      </c>
      <c r="S129" s="266">
        <f t="shared" si="55"/>
        <v>0</v>
      </c>
      <c r="T129" s="266">
        <f t="shared" si="56"/>
        <v>0</v>
      </c>
      <c r="U129" s="267">
        <f t="shared" si="57"/>
        <v>0</v>
      </c>
      <c r="V129" s="268">
        <f t="shared" si="58"/>
        <v>0</v>
      </c>
    </row>
    <row r="130" spans="14:29" ht="15" customHeight="1" thickTop="1" thickBot="1" x14ac:dyDescent="0.2">
      <c r="N130" s="73"/>
      <c r="O130" s="75"/>
      <c r="P130" s="75"/>
      <c r="Q130" s="75"/>
      <c r="R130" s="266">
        <f t="shared" si="54"/>
        <v>0</v>
      </c>
      <c r="S130" s="266">
        <f t="shared" si="55"/>
        <v>0</v>
      </c>
      <c r="T130" s="266">
        <f t="shared" si="56"/>
        <v>0</v>
      </c>
      <c r="U130" s="267">
        <f t="shared" si="57"/>
        <v>0</v>
      </c>
      <c r="V130" s="268">
        <f t="shared" si="58"/>
        <v>0</v>
      </c>
    </row>
    <row r="131" spans="14:29" ht="15" customHeight="1" thickTop="1" thickBot="1" x14ac:dyDescent="0.2">
      <c r="N131" s="73"/>
      <c r="O131" s="75"/>
      <c r="P131" s="75"/>
      <c r="Q131" s="75"/>
      <c r="R131" s="266">
        <f t="shared" si="54"/>
        <v>0</v>
      </c>
      <c r="S131" s="266" t="e">
        <f t="shared" si="55"/>
        <v>#REF!</v>
      </c>
      <c r="T131" s="266" t="e">
        <f t="shared" si="56"/>
        <v>#REF!</v>
      </c>
      <c r="U131" s="267" t="e">
        <f t="shared" si="57"/>
        <v>#REF!</v>
      </c>
      <c r="V131" s="268" t="e">
        <f t="shared" si="58"/>
        <v>#REF!</v>
      </c>
    </row>
    <row r="132" spans="14:29" ht="15" customHeight="1" thickTop="1" thickBot="1" x14ac:dyDescent="0.2">
      <c r="N132" s="73">
        <v>11</v>
      </c>
      <c r="O132" s="75"/>
      <c r="P132" s="75"/>
      <c r="Q132" s="75"/>
      <c r="R132" s="266">
        <f>V38</f>
        <v>13042</v>
      </c>
      <c r="S132" s="266" t="e">
        <f>SUM(X60:Y60)</f>
        <v>#REF!</v>
      </c>
      <c r="T132" s="266" t="e">
        <f>SUM(R132:S132)</f>
        <v>#REF!</v>
      </c>
      <c r="U132" s="267" t="e">
        <f>T132*0.05</f>
        <v>#REF!</v>
      </c>
      <c r="V132" s="268" t="e">
        <f>T132+U132</f>
        <v>#REF!</v>
      </c>
    </row>
    <row r="133" spans="14:29" ht="15" customHeight="1" thickTop="1" thickBot="1" x14ac:dyDescent="0.2">
      <c r="N133" s="73">
        <v>12</v>
      </c>
      <c r="O133" s="75"/>
      <c r="P133" s="75"/>
      <c r="Q133" s="75"/>
      <c r="R133" s="266">
        <f>V39</f>
        <v>0</v>
      </c>
      <c r="S133" s="266">
        <f>SUM(X61:Y61)</f>
        <v>0</v>
      </c>
      <c r="T133" s="266">
        <f t="shared" ref="T133" si="59">SUM(R133:S133)</f>
        <v>0</v>
      </c>
      <c r="U133" s="267">
        <f t="shared" ref="U133" si="60">T133*0.05</f>
        <v>0</v>
      </c>
      <c r="V133" s="268">
        <f t="shared" ref="V133" si="61">T133+U133</f>
        <v>0</v>
      </c>
    </row>
    <row r="134" spans="14:29" ht="15" customHeight="1" thickTop="1" x14ac:dyDescent="0.15">
      <c r="N134" s="692"/>
      <c r="O134" s="693"/>
      <c r="P134" s="693"/>
      <c r="Q134" s="693"/>
      <c r="R134" s="694"/>
      <c r="S134" s="694"/>
      <c r="T134" s="694"/>
      <c r="U134" s="695"/>
      <c r="V134" s="696"/>
    </row>
    <row r="135" spans="14:29" ht="15" customHeight="1" x14ac:dyDescent="0.15">
      <c r="N135" s="692"/>
      <c r="O135" s="693"/>
      <c r="P135" s="693"/>
      <c r="Q135" s="693"/>
      <c r="R135" s="694"/>
      <c r="S135" s="694"/>
      <c r="T135" s="694"/>
      <c r="U135" s="695"/>
      <c r="V135" s="696"/>
    </row>
    <row r="136" spans="14:29" ht="15" customHeight="1" x14ac:dyDescent="0.15">
      <c r="N136" s="692"/>
      <c r="O136" s="693"/>
      <c r="P136" s="693"/>
      <c r="Q136" s="693"/>
      <c r="R136" s="694"/>
      <c r="S136" s="694"/>
      <c r="T136" s="694"/>
      <c r="U136" s="695"/>
      <c r="V136" s="696"/>
    </row>
    <row r="137" spans="14:29" ht="15" customHeight="1" x14ac:dyDescent="0.15">
      <c r="N137" s="692"/>
      <c r="O137" s="693"/>
      <c r="P137" s="693"/>
      <c r="Q137" s="693"/>
      <c r="R137" s="694"/>
      <c r="S137" s="694"/>
      <c r="T137" s="694"/>
      <c r="U137" s="695"/>
      <c r="V137" s="696"/>
    </row>
    <row r="138" spans="14:29" ht="15" customHeight="1" x14ac:dyDescent="0.15">
      <c r="N138" s="23"/>
      <c r="O138" s="195"/>
      <c r="P138" s="195"/>
      <c r="Q138" s="195"/>
      <c r="R138" s="195"/>
      <c r="S138" s="195"/>
      <c r="T138" s="195"/>
      <c r="U138" s="203"/>
      <c r="V138" s="204"/>
    </row>
    <row r="139" spans="14:29" ht="15" customHeight="1" thickBot="1" x14ac:dyDescent="0.2">
      <c r="N139" s="68" t="s">
        <v>102</v>
      </c>
      <c r="O139" s="357">
        <f>IF(+Q90+V109=0,0,+Q90+V109)</f>
        <v>0</v>
      </c>
      <c r="P139" s="357">
        <f>TRUNC(O139*S149)</f>
        <v>0</v>
      </c>
      <c r="Q139" s="76">
        <f>SUM(Q117:Q126)</f>
        <v>0</v>
      </c>
      <c r="R139" s="76">
        <f>IF(O139+P139+Q139=0,0,SUM(R117:R126))</f>
        <v>0</v>
      </c>
      <c r="S139" s="76">
        <f>TRUNC(R139*S151)</f>
        <v>0</v>
      </c>
      <c r="T139" s="76" t="e">
        <f>SUM(T117:T126)</f>
        <v>#REF!</v>
      </c>
      <c r="U139" s="89" t="e">
        <f>SUM(U117:U126)</f>
        <v>#REF!</v>
      </c>
      <c r="V139" s="90" t="e">
        <f>SUM(V117:V126)</f>
        <v>#REF!</v>
      </c>
      <c r="AB139">
        <f>TRUNC(AB147*AE147)</f>
        <v>0</v>
      </c>
      <c r="AC139">
        <f>SUM(AC117:AC126)</f>
        <v>0</v>
      </c>
    </row>
    <row r="141" spans="14:29" ht="14.25" thickBot="1" x14ac:dyDescent="0.2">
      <c r="N141" t="s">
        <v>198</v>
      </c>
    </row>
    <row r="142" spans="14:29" x14ac:dyDescent="0.15">
      <c r="N142" s="759" t="s">
        <v>199</v>
      </c>
      <c r="O142" s="760"/>
      <c r="P142" s="47" t="s">
        <v>200</v>
      </c>
      <c r="Q142" s="763" t="s">
        <v>201</v>
      </c>
      <c r="R142" s="763" t="s">
        <v>202</v>
      </c>
      <c r="S142" s="763" t="s">
        <v>203</v>
      </c>
      <c r="T142" s="765" t="s">
        <v>204</v>
      </c>
      <c r="U142" s="766"/>
      <c r="V142" s="767"/>
    </row>
    <row r="143" spans="14:29" ht="14.25" thickBot="1" x14ac:dyDescent="0.2">
      <c r="N143" s="761"/>
      <c r="O143" s="762"/>
      <c r="P143" s="56" t="s">
        <v>206</v>
      </c>
      <c r="Q143" s="764"/>
      <c r="R143" s="764"/>
      <c r="S143" s="764"/>
      <c r="T143" s="768"/>
      <c r="U143" s="769"/>
      <c r="V143" s="770"/>
    </row>
    <row r="144" spans="14:29" ht="14.25" thickTop="1" x14ac:dyDescent="0.15">
      <c r="N144" s="24"/>
      <c r="O144" s="6"/>
      <c r="P144" s="359"/>
      <c r="Q144" s="232"/>
      <c r="R144" s="232"/>
      <c r="S144" s="361"/>
      <c r="T144" s="10"/>
      <c r="U144" s="21"/>
      <c r="V144" s="22"/>
    </row>
    <row r="145" spans="14:31" x14ac:dyDescent="0.15">
      <c r="N145" s="27" t="s">
        <v>146</v>
      </c>
      <c r="O145" s="8" t="s">
        <v>136</v>
      </c>
      <c r="P145" s="360">
        <f>O109</f>
        <v>0</v>
      </c>
      <c r="Q145" s="240">
        <f>VLOOKUP(B33,土木費率,6)</f>
        <v>0</v>
      </c>
      <c r="R145" s="240">
        <v>0</v>
      </c>
      <c r="S145" s="362">
        <f>Q145</f>
        <v>0</v>
      </c>
      <c r="T145" s="10" t="s">
        <v>255</v>
      </c>
      <c r="U145" s="21"/>
      <c r="V145" s="22"/>
      <c r="AB145">
        <f>AD90</f>
        <v>0</v>
      </c>
      <c r="AC145" s="236">
        <f>IF(AND(AB145&gt;10^4,AB145&lt;=2*10^6),ROUND(J22*(AB145*1000)^J23,2),IF(AB145&lt;=10^4,J20,J21))/100</f>
        <v>0.187</v>
      </c>
      <c r="AD145" s="235">
        <f>R67</f>
        <v>1.2</v>
      </c>
      <c r="AE145" s="237">
        <f>SUM(AC145:AD145)</f>
        <v>1.387</v>
      </c>
    </row>
    <row r="146" spans="14:31" x14ac:dyDescent="0.15">
      <c r="N146" s="24"/>
      <c r="O146" s="6"/>
      <c r="P146" s="359"/>
      <c r="Q146" s="248"/>
      <c r="R146" s="248"/>
      <c r="S146" s="363"/>
      <c r="T146" s="771">
        <f>Q150</f>
        <v>0</v>
      </c>
      <c r="U146" s="772"/>
      <c r="V146" s="251"/>
      <c r="AC146" s="235"/>
      <c r="AD146" s="235"/>
      <c r="AE146" s="235"/>
    </row>
    <row r="147" spans="14:31" x14ac:dyDescent="0.15">
      <c r="N147" s="27" t="s">
        <v>210</v>
      </c>
      <c r="O147" s="8" t="s">
        <v>137</v>
      </c>
      <c r="P147" s="360">
        <f>Q109</f>
        <v>0</v>
      </c>
      <c r="Q147" s="241">
        <f>IF(AND(Q109&gt;10^4,Q109&lt;=2*10^6),ROUND(D22*(Q109*1000)^D23,2),IF(Q109&lt;=10^4,D20,D21))/100</f>
        <v>0</v>
      </c>
      <c r="R147" s="240">
        <f>VLOOKUP(R4,F26:K30,5)</f>
        <v>1.2</v>
      </c>
      <c r="S147" s="364">
        <f>SUM(Q147:R147)</f>
        <v>1.2</v>
      </c>
      <c r="T147" s="10"/>
      <c r="U147" s="79" t="str">
        <f>IF(R6=1,TEXT(Q151,"0.00% × ")&amp;TEXT(R5,"0.00")&amp;" ＝ ","")</f>
        <v xml:space="preserve">22.72% × 1.00 ＝ </v>
      </c>
      <c r="V147" s="249">
        <f>ROUND(Q151*R151,4)</f>
        <v>0.22720000000000001</v>
      </c>
      <c r="AB147">
        <f>AB90+AH109</f>
        <v>0</v>
      </c>
      <c r="AC147" s="237">
        <f>IF(AND(AB147&gt;10^4,AB147&lt;=2*10^6),ROUND(K22*(AB147*1000)^K23,2),IF(AB147&lt;=10^4,K20,K21))/100</f>
        <v>0.39630000000000004</v>
      </c>
      <c r="AD147" s="235">
        <f>R69</f>
        <v>1.1000000000000001</v>
      </c>
      <c r="AE147" s="237">
        <f>SUM(AC147:AD147)</f>
        <v>1.4963000000000002</v>
      </c>
    </row>
    <row r="148" spans="14:31" x14ac:dyDescent="0.15">
      <c r="N148" s="24"/>
      <c r="O148" s="6"/>
      <c r="P148" s="359"/>
      <c r="Q148" s="248"/>
      <c r="R148" s="248"/>
      <c r="S148" s="363"/>
      <c r="T148" s="10"/>
      <c r="U148" s="21"/>
      <c r="V148" s="91"/>
      <c r="AC148" s="237"/>
      <c r="AD148" s="235"/>
      <c r="AE148" s="237"/>
    </row>
    <row r="149" spans="14:31" x14ac:dyDescent="0.15">
      <c r="N149" s="27" t="s">
        <v>211</v>
      </c>
      <c r="O149" s="8" t="s">
        <v>138</v>
      </c>
      <c r="P149" s="360">
        <f>O139</f>
        <v>0</v>
      </c>
      <c r="Q149" s="242">
        <f>IF(AND(P149&gt;10^4,P149&lt;=2*10^6),ROUND($E22*(P149*1000)^$E23,2),IF(P149&lt;=10^4,$E20,$E21))/100</f>
        <v>0</v>
      </c>
      <c r="R149" s="240">
        <f>VLOOKUP(R4,F26:K30,6)</f>
        <v>1.1000000000000001</v>
      </c>
      <c r="S149" s="364">
        <f>SUM(Q149:R149)</f>
        <v>1.1000000000000001</v>
      </c>
      <c r="T149" s="10" t="s">
        <v>256</v>
      </c>
      <c r="U149" s="21"/>
      <c r="V149" s="22"/>
      <c r="AC149" s="237"/>
      <c r="AD149" s="235"/>
      <c r="AE149" s="237"/>
    </row>
    <row r="150" spans="14:31" x14ac:dyDescent="0.15">
      <c r="N150" s="24"/>
      <c r="O150" s="6"/>
      <c r="P150" s="359"/>
      <c r="Q150" s="248"/>
      <c r="R150" s="244"/>
      <c r="S150" s="363"/>
      <c r="T150" s="771"/>
      <c r="U150" s="772"/>
      <c r="V150" s="251">
        <f>S150</f>
        <v>0</v>
      </c>
    </row>
    <row r="151" spans="14:31" ht="14.25" thickBot="1" x14ac:dyDescent="0.2">
      <c r="N151" s="68" t="s">
        <v>212</v>
      </c>
      <c r="O151" s="29" t="s">
        <v>139</v>
      </c>
      <c r="P151" s="348">
        <f>R139</f>
        <v>0</v>
      </c>
      <c r="Q151" s="243">
        <f>IF(AND(P151&gt;5*10^3,P151&lt;=3*10^6),ROUND(($D$29*LOG(P151*1000)+$D$30),2),IF(P151&lt;=5*10^3,$D$27,$D$28))/100</f>
        <v>0.22719999999999999</v>
      </c>
      <c r="R151" s="245">
        <f>R5</f>
        <v>1</v>
      </c>
      <c r="S151" s="365">
        <f>V147+R6*0.04/100</f>
        <v>0.22760000000000002</v>
      </c>
      <c r="T151" s="30"/>
      <c r="U151" s="196" t="str">
        <f>IF(R$6=0,0,TEXT(V$147,"0.00%")&amp;" ＋ 0.04 ＝ ")</f>
        <v xml:space="preserve">22.72% ＋ 0.04 ＝ </v>
      </c>
      <c r="V151" s="250">
        <f>IF(R$6=0,0,S$151)</f>
        <v>0.22760000000000002</v>
      </c>
    </row>
  </sheetData>
  <mergeCells count="18">
    <mergeCell ref="R13:R14"/>
    <mergeCell ref="T13:T14"/>
    <mergeCell ref="U13:U14"/>
    <mergeCell ref="N64:O65"/>
    <mergeCell ref="Q64:Q65"/>
    <mergeCell ref="R64:R65"/>
    <mergeCell ref="S64:S65"/>
    <mergeCell ref="T64:V65"/>
    <mergeCell ref="T146:U146"/>
    <mergeCell ref="T150:U150"/>
    <mergeCell ref="R76:R77"/>
    <mergeCell ref="T76:T77"/>
    <mergeCell ref="U76:U77"/>
    <mergeCell ref="N142:O143"/>
    <mergeCell ref="Q142:Q143"/>
    <mergeCell ref="R142:R143"/>
    <mergeCell ref="S142:S143"/>
    <mergeCell ref="T142:V143"/>
  </mergeCells>
  <phoneticPr fontId="28"/>
  <pageMargins left="0.70866141732283472" right="0.19685039370078741" top="0.78740157480314965" bottom="0.39370078740157483" header="0" footer="0.19685039370078741"/>
  <pageSetup paperSize="9" scale="78" firstPageNumber="2" orientation="portrait" blackAndWhite="1"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ransitionEvaluation="1"/>
  <dimension ref="B2:AH135"/>
  <sheetViews>
    <sheetView showZeros="0" view="pageBreakPreview" topLeftCell="J25" zoomScaleNormal="90" zoomScaleSheetLayoutView="100" workbookViewId="0">
      <selection activeCell="Q17" sqref="Q17"/>
    </sheetView>
  </sheetViews>
  <sheetFormatPr defaultRowHeight="13.5" x14ac:dyDescent="0.15"/>
  <cols>
    <col min="1" max="1" width="4.625" customWidth="1"/>
    <col min="2" max="2" width="5.625" customWidth="1"/>
    <col min="3" max="3" width="8.625" customWidth="1"/>
    <col min="4" max="5" width="11.625" customWidth="1"/>
    <col min="6" max="9" width="8.625" customWidth="1"/>
    <col min="10" max="11" width="11.625" customWidth="1"/>
    <col min="12" max="12" width="7.125" customWidth="1"/>
    <col min="14" max="14" width="5.625" customWidth="1"/>
    <col min="15" max="15" width="12.625" customWidth="1"/>
    <col min="16" max="19" width="11.625" customWidth="1"/>
    <col min="20" max="21" width="12.625" customWidth="1"/>
    <col min="22" max="22" width="13.625" customWidth="1"/>
    <col min="23" max="23" width="4.625" customWidth="1"/>
    <col min="24" max="26" width="10.625" hidden="1" customWidth="1"/>
    <col min="27" max="27" width="4.625" hidden="1" customWidth="1"/>
    <col min="28" max="29" width="9.625" hidden="1" customWidth="1"/>
    <col min="30" max="34" width="0" hidden="1" customWidth="1"/>
  </cols>
  <sheetData>
    <row r="2" spans="2:30" ht="17.25" x14ac:dyDescent="0.2">
      <c r="P2" s="121" t="s">
        <v>111</v>
      </c>
      <c r="R2" s="292">
        <v>24</v>
      </c>
      <c r="S2" s="293">
        <v>7</v>
      </c>
      <c r="T2" s="119"/>
      <c r="V2" s="119"/>
    </row>
    <row r="3" spans="2:30" ht="18" thickBot="1" x14ac:dyDescent="0.25">
      <c r="P3" s="121"/>
      <c r="R3" s="292"/>
      <c r="S3" s="293"/>
      <c r="T3" s="119"/>
      <c r="V3" s="119"/>
    </row>
    <row r="4" spans="2:30" ht="17.25" x14ac:dyDescent="0.2">
      <c r="P4" s="314" t="s">
        <v>113</v>
      </c>
      <c r="R4" s="311">
        <v>4</v>
      </c>
      <c r="S4" s="469" t="s">
        <v>465</v>
      </c>
      <c r="T4" s="119"/>
      <c r="V4" s="119"/>
    </row>
    <row r="5" spans="2:30" ht="17.25" x14ac:dyDescent="0.2">
      <c r="P5" s="314" t="s">
        <v>116</v>
      </c>
      <c r="R5" s="312">
        <v>1</v>
      </c>
      <c r="S5" s="293"/>
      <c r="T5" s="119"/>
      <c r="V5" s="119"/>
    </row>
    <row r="6" spans="2:30" ht="18" thickBot="1" x14ac:dyDescent="0.25">
      <c r="P6" s="314" t="s">
        <v>122</v>
      </c>
      <c r="R6" s="313">
        <v>1</v>
      </c>
      <c r="S6" s="315" t="s">
        <v>71</v>
      </c>
      <c r="T6" s="119"/>
      <c r="V6" s="119"/>
    </row>
    <row r="7" spans="2:30" ht="17.25" x14ac:dyDescent="0.2">
      <c r="P7" s="121"/>
      <c r="R7" s="292"/>
      <c r="S7" s="293"/>
      <c r="T7" s="119"/>
      <c r="V7" s="119"/>
    </row>
    <row r="8" spans="2:30" ht="18" hidden="1" thickBot="1" x14ac:dyDescent="0.25">
      <c r="O8" s="120"/>
      <c r="P8" s="314" t="s">
        <v>323</v>
      </c>
      <c r="R8" s="294">
        <v>0</v>
      </c>
      <c r="S8" s="295" t="s">
        <v>324</v>
      </c>
      <c r="T8" s="119"/>
      <c r="U8" s="138"/>
      <c r="V8" s="119"/>
    </row>
    <row r="9" spans="2:30" x14ac:dyDescent="0.15">
      <c r="C9" s="113"/>
      <c r="D9" s="113"/>
      <c r="E9" s="113"/>
    </row>
    <row r="10" spans="2:30" ht="17.25" x14ac:dyDescent="0.2">
      <c r="N10" s="33" t="s">
        <v>112</v>
      </c>
      <c r="O10" s="34"/>
      <c r="P10" s="34"/>
      <c r="Q10" s="34"/>
      <c r="R10" s="34"/>
      <c r="S10" s="34"/>
      <c r="T10" s="34"/>
      <c r="U10" s="34"/>
      <c r="V10" s="34"/>
      <c r="X10" t="s">
        <v>61</v>
      </c>
    </row>
    <row r="11" spans="2:30" ht="14.25" thickBot="1" x14ac:dyDescent="0.2">
      <c r="B11" s="92"/>
      <c r="C11" s="34"/>
      <c r="D11" s="34"/>
      <c r="E11" s="99"/>
      <c r="F11" s="34"/>
      <c r="N11" t="s">
        <v>114</v>
      </c>
      <c r="S11" s="100" t="str">
        <f>P2</f>
        <v>諸 経 費 算 出 世 代</v>
      </c>
      <c r="T11" s="467">
        <f>R2</f>
        <v>24</v>
      </c>
      <c r="U11" s="468">
        <f>S2</f>
        <v>7</v>
      </c>
      <c r="V11" t="s">
        <v>115</v>
      </c>
      <c r="X11" s="113" t="s">
        <v>62</v>
      </c>
      <c r="Y11">
        <v>102</v>
      </c>
      <c r="AB11" s="239">
        <f>鏡!H2-1</f>
        <v>0</v>
      </c>
    </row>
    <row r="12" spans="2:30" x14ac:dyDescent="0.15">
      <c r="B12" s="34"/>
      <c r="C12" s="34"/>
      <c r="D12" s="118" t="s">
        <v>234</v>
      </c>
      <c r="E12" s="99"/>
      <c r="F12" s="34"/>
      <c r="J12" s="116"/>
      <c r="N12" s="45"/>
      <c r="O12" s="46"/>
      <c r="P12" s="18"/>
      <c r="Q12" s="47" t="s">
        <v>117</v>
      </c>
      <c r="R12" s="763" t="s">
        <v>118</v>
      </c>
      <c r="S12" s="47" t="s">
        <v>119</v>
      </c>
      <c r="T12" s="763" t="s">
        <v>120</v>
      </c>
      <c r="U12" s="763" t="s">
        <v>121</v>
      </c>
      <c r="V12" s="58" t="s">
        <v>102</v>
      </c>
      <c r="X12" s="113" t="s">
        <v>63</v>
      </c>
      <c r="Y12">
        <v>406</v>
      </c>
    </row>
    <row r="13" spans="2:30" x14ac:dyDescent="0.15">
      <c r="B13" s="34"/>
      <c r="C13" s="34"/>
      <c r="D13" s="118" t="s">
        <v>235</v>
      </c>
      <c r="E13" s="99"/>
      <c r="F13" s="34"/>
      <c r="N13" s="49" t="s">
        <v>213</v>
      </c>
      <c r="O13" s="25"/>
      <c r="P13" s="25"/>
      <c r="Q13" s="6" t="s">
        <v>124</v>
      </c>
      <c r="R13" s="773"/>
      <c r="S13" s="6" t="s">
        <v>125</v>
      </c>
      <c r="T13" s="773"/>
      <c r="U13" s="773"/>
      <c r="V13" s="69" t="s">
        <v>126</v>
      </c>
      <c r="X13" s="113" t="s">
        <v>64</v>
      </c>
      <c r="Y13">
        <v>0</v>
      </c>
      <c r="AB13" t="s">
        <v>285</v>
      </c>
    </row>
    <row r="14" spans="2:30" ht="14.25" thickBot="1" x14ac:dyDescent="0.2">
      <c r="N14" s="51"/>
      <c r="O14" s="35"/>
      <c r="P14" s="36"/>
      <c r="Q14" s="39" t="s">
        <v>127</v>
      </c>
      <c r="R14" s="39" t="s">
        <v>128</v>
      </c>
      <c r="S14" s="39" t="s">
        <v>129</v>
      </c>
      <c r="T14" s="39" t="s">
        <v>130</v>
      </c>
      <c r="U14" s="39" t="s">
        <v>131</v>
      </c>
      <c r="V14" s="70" t="s">
        <v>132</v>
      </c>
      <c r="X14" s="1" t="s">
        <v>288</v>
      </c>
      <c r="Y14">
        <f>SUM(Y11:Y13)</f>
        <v>508</v>
      </c>
      <c r="AB14" s="233" t="s">
        <v>286</v>
      </c>
      <c r="AC14" s="233" t="s">
        <v>287</v>
      </c>
      <c r="AD14" s="233" t="s">
        <v>288</v>
      </c>
    </row>
    <row r="15" spans="2:30" ht="15" customHeight="1" thickTop="1" x14ac:dyDescent="0.15">
      <c r="N15" s="62">
        <v>1</v>
      </c>
      <c r="O15" s="115"/>
      <c r="P15" s="37"/>
      <c r="Q15" s="198"/>
      <c r="R15" s="198"/>
      <c r="S15" s="199"/>
      <c r="T15" s="199"/>
      <c r="U15" s="199"/>
      <c r="V15" s="63">
        <f>SUM(Q15:U15)</f>
        <v>0</v>
      </c>
      <c r="AB15" s="114"/>
      <c r="AC15" s="114"/>
    </row>
    <row r="16" spans="2:30" ht="15" customHeight="1" x14ac:dyDescent="0.15">
      <c r="B16" t="s">
        <v>133</v>
      </c>
      <c r="H16" t="s">
        <v>333</v>
      </c>
      <c r="N16" s="62">
        <v>2</v>
      </c>
      <c r="O16" s="332"/>
      <c r="P16" s="343"/>
      <c r="Q16" s="344"/>
      <c r="R16" s="344"/>
      <c r="S16" s="344"/>
      <c r="T16" s="344"/>
      <c r="U16" s="344"/>
      <c r="V16" s="345">
        <f>SUM(Q16:U16)</f>
        <v>0</v>
      </c>
      <c r="X16" t="s">
        <v>65</v>
      </c>
      <c r="AB16" s="114">
        <f>IF($AB$11=1,IF(#REF!=0,Q79,-#REF!/1000),0)</f>
        <v>0</v>
      </c>
      <c r="AC16" s="114">
        <f>IF($AB$11=1,IF(#REF!=0,R79,-#REF!/1000),0)</f>
        <v>0</v>
      </c>
      <c r="AD16">
        <f>SUM(AB16:AC16)</f>
        <v>0</v>
      </c>
    </row>
    <row r="17" spans="2:34" ht="15" customHeight="1" x14ac:dyDescent="0.15">
      <c r="N17" s="62">
        <v>3</v>
      </c>
      <c r="O17" s="332" t="s">
        <v>400</v>
      </c>
      <c r="P17" s="343"/>
      <c r="Q17" s="346" t="e">
        <f>#REF!/1000</f>
        <v>#REF!</v>
      </c>
      <c r="R17" s="347"/>
      <c r="S17" s="347"/>
      <c r="T17" s="347"/>
      <c r="U17" s="347"/>
      <c r="V17" s="345" t="e">
        <f>SUM(Q17:U17)</f>
        <v>#REF!</v>
      </c>
      <c r="X17" t="s">
        <v>66</v>
      </c>
      <c r="Y17">
        <v>1</v>
      </c>
      <c r="AB17" s="114"/>
      <c r="AC17" s="114"/>
    </row>
    <row r="18" spans="2:34" ht="15" customHeight="1" x14ac:dyDescent="0.15">
      <c r="B18" s="82"/>
      <c r="C18" s="83"/>
      <c r="D18" s="87" t="s">
        <v>140</v>
      </c>
      <c r="E18" s="88" t="s">
        <v>141</v>
      </c>
      <c r="H18" s="82"/>
      <c r="I18" s="83"/>
      <c r="J18" s="87" t="s">
        <v>140</v>
      </c>
      <c r="K18" s="88" t="s">
        <v>141</v>
      </c>
      <c r="N18" s="62">
        <v>4</v>
      </c>
      <c r="O18" s="332"/>
      <c r="P18" s="343"/>
      <c r="Q18" s="344"/>
      <c r="R18" s="344"/>
      <c r="S18" s="344"/>
      <c r="T18" s="344"/>
      <c r="U18" s="344"/>
      <c r="V18" s="345">
        <f>SUM(Q18:U18)</f>
        <v>0</v>
      </c>
      <c r="X18" t="s">
        <v>67</v>
      </c>
      <c r="AB18" s="114">
        <f>IF($AB$11=1,IF(#REF!=0,Q81,-#REF!/1000),0)</f>
        <v>0</v>
      </c>
      <c r="AC18" s="114"/>
      <c r="AD18">
        <f>SUM(AB18:AC18)</f>
        <v>0</v>
      </c>
    </row>
    <row r="19" spans="2:34" ht="15" customHeight="1" x14ac:dyDescent="0.15">
      <c r="B19" s="9"/>
      <c r="C19" s="81" t="s">
        <v>142</v>
      </c>
      <c r="D19" s="84">
        <f>VLOOKUP($B$32,土木費率,2)</f>
        <v>0</v>
      </c>
      <c r="E19" s="85">
        <f>VLOOKUP($B$32,土木費率,7)</f>
        <v>0</v>
      </c>
      <c r="H19" s="11"/>
      <c r="I19" s="81" t="s">
        <v>143</v>
      </c>
      <c r="J19" s="84">
        <f>VLOOKUP($B$32,機電費率,2)</f>
        <v>17.12</v>
      </c>
      <c r="K19" s="85">
        <f>VLOOKUP($B$32,機電費率,7)</f>
        <v>29.65</v>
      </c>
      <c r="N19" s="64">
        <v>5</v>
      </c>
      <c r="O19" s="333"/>
      <c r="P19" s="38"/>
      <c r="Q19" s="42"/>
      <c r="R19" s="42"/>
      <c r="S19" s="42"/>
      <c r="T19" s="42"/>
      <c r="U19" s="42"/>
      <c r="V19" s="65">
        <f>SUM(Q19:U19)</f>
        <v>0</v>
      </c>
      <c r="X19" t="s">
        <v>68</v>
      </c>
      <c r="AB19" s="114"/>
      <c r="AC19" s="114"/>
    </row>
    <row r="20" spans="2:34" ht="15" customHeight="1" x14ac:dyDescent="0.15">
      <c r="B20" s="9"/>
      <c r="C20" s="81" t="s">
        <v>144</v>
      </c>
      <c r="D20" s="84">
        <f>VLOOKUP($B$32,土木費率,5)</f>
        <v>0</v>
      </c>
      <c r="E20" s="85">
        <f>VLOOKUP($B$32,土木費率,10)</f>
        <v>0</v>
      </c>
      <c r="H20" s="11"/>
      <c r="I20" s="81" t="s">
        <v>145</v>
      </c>
      <c r="J20" s="84">
        <f>VLOOKUP($B$32,機電費率,5)</f>
        <v>5.96</v>
      </c>
      <c r="K20" s="85">
        <f>VLOOKUP($B$32,機電費率,10)</f>
        <v>23.54</v>
      </c>
      <c r="N20" s="62">
        <v>6</v>
      </c>
      <c r="O20" s="115"/>
      <c r="P20" s="37"/>
      <c r="Q20" s="41"/>
      <c r="R20" s="41"/>
      <c r="S20" s="41"/>
      <c r="T20" s="41"/>
      <c r="U20" s="41"/>
      <c r="V20" s="63"/>
      <c r="X20" s="1" t="s">
        <v>288</v>
      </c>
      <c r="Y20">
        <f>SUM(Y17:Y19)</f>
        <v>1</v>
      </c>
      <c r="AB20" s="114"/>
      <c r="AC20" s="114"/>
      <c r="AD20">
        <f>SUM(AB20:AC20)</f>
        <v>0</v>
      </c>
    </row>
    <row r="21" spans="2:34" ht="15" customHeight="1" x14ac:dyDescent="0.15">
      <c r="B21" s="9"/>
      <c r="C21" s="3" t="s">
        <v>146</v>
      </c>
      <c r="D21" s="84">
        <f>VLOOKUP($B$32,土木費率,3)</f>
        <v>0</v>
      </c>
      <c r="E21" s="85">
        <f>VLOOKUP($B$32,土木費率,8)</f>
        <v>0</v>
      </c>
      <c r="H21" s="8"/>
      <c r="I21" s="3" t="s">
        <v>146</v>
      </c>
      <c r="J21" s="84">
        <f>VLOOKUP($B$32,機電費率,3)</f>
        <v>257.2</v>
      </c>
      <c r="K21" s="85">
        <f>VLOOKUP($B$32,機電費率,8)</f>
        <v>53.6</v>
      </c>
      <c r="N21" s="62">
        <v>7</v>
      </c>
      <c r="O21" s="342"/>
      <c r="P21" s="37"/>
      <c r="Q21" s="41"/>
      <c r="R21" s="41"/>
      <c r="S21" s="41"/>
      <c r="T21" s="41"/>
      <c r="U21" s="41"/>
      <c r="V21" s="63"/>
      <c r="AB21" s="114"/>
      <c r="AC21" s="114"/>
    </row>
    <row r="22" spans="2:34" ht="15" customHeight="1" x14ac:dyDescent="0.15">
      <c r="B22" s="9"/>
      <c r="C22" s="3" t="s">
        <v>147</v>
      </c>
      <c r="D22" s="136">
        <f>VLOOKUP($B$32,土木費率,4)</f>
        <v>0</v>
      </c>
      <c r="E22" s="137">
        <f>VLOOKUP($B$32,土木費率,9)</f>
        <v>0</v>
      </c>
      <c r="H22" s="8"/>
      <c r="I22" s="3" t="s">
        <v>147</v>
      </c>
      <c r="J22" s="136">
        <f>VLOOKUP($B$32,機電費率,4)</f>
        <v>-0.1817</v>
      </c>
      <c r="K22" s="137">
        <f>VLOOKUP($B$32,機電費率,9)</f>
        <v>-3.9699999999999999E-2</v>
      </c>
      <c r="N22" s="62">
        <v>8</v>
      </c>
      <c r="O22" s="342"/>
      <c r="P22" s="37"/>
      <c r="Q22" s="41"/>
      <c r="R22" s="41"/>
      <c r="S22" s="41"/>
      <c r="T22" s="41"/>
      <c r="U22" s="41"/>
      <c r="V22" s="63"/>
      <c r="AB22" s="114"/>
      <c r="AC22" s="114"/>
    </row>
    <row r="23" spans="2:34" ht="15" customHeight="1" x14ac:dyDescent="0.15">
      <c r="N23" s="62">
        <v>9</v>
      </c>
      <c r="O23" s="342"/>
      <c r="P23" s="37"/>
      <c r="Q23" s="41"/>
      <c r="R23" s="41"/>
      <c r="S23" s="41"/>
      <c r="T23" s="41"/>
      <c r="U23" s="41"/>
      <c r="V23" s="63"/>
      <c r="AB23" s="114"/>
      <c r="AC23" s="114"/>
    </row>
    <row r="24" spans="2:34" ht="15" customHeight="1" thickBot="1" x14ac:dyDescent="0.2">
      <c r="B24" t="s">
        <v>148</v>
      </c>
      <c r="F24" t="s">
        <v>149</v>
      </c>
      <c r="N24" s="66">
        <v>10</v>
      </c>
      <c r="O24" s="400"/>
      <c r="P24" s="35"/>
      <c r="Q24" s="44"/>
      <c r="R24" s="44"/>
      <c r="S24" s="44"/>
      <c r="T24" s="44"/>
      <c r="U24" s="44"/>
      <c r="V24" s="67"/>
      <c r="AB24" s="114"/>
      <c r="AC24" s="114"/>
    </row>
    <row r="25" spans="2:34" ht="15" customHeight="1" thickTop="1" x14ac:dyDescent="0.15">
      <c r="B25" t="s">
        <v>150</v>
      </c>
      <c r="E25" s="1"/>
      <c r="F25" s="14" t="s">
        <v>151</v>
      </c>
      <c r="G25" s="15"/>
      <c r="H25" s="15"/>
      <c r="I25" s="15"/>
      <c r="J25" s="87" t="s">
        <v>140</v>
      </c>
      <c r="K25" s="88" t="s">
        <v>141</v>
      </c>
      <c r="N25" s="49"/>
      <c r="O25" s="25"/>
      <c r="P25" s="21"/>
      <c r="Q25" s="195"/>
      <c r="R25" s="195"/>
      <c r="S25" s="200"/>
      <c r="T25" s="200"/>
      <c r="U25" s="200"/>
      <c r="V25" s="201"/>
      <c r="AB25" s="114"/>
      <c r="AC25" s="114"/>
    </row>
    <row r="26" spans="2:34" ht="15" customHeight="1" thickBot="1" x14ac:dyDescent="0.2">
      <c r="B26" s="82"/>
      <c r="C26" s="93" t="s">
        <v>152</v>
      </c>
      <c r="D26" s="94">
        <f>VLOOKUP($B$32,一般費率,2)</f>
        <v>14.38</v>
      </c>
      <c r="F26" s="9">
        <v>1</v>
      </c>
      <c r="G26" s="32" t="s">
        <v>153</v>
      </c>
      <c r="H26" s="78"/>
      <c r="I26" s="78"/>
      <c r="J26" s="246">
        <v>0</v>
      </c>
      <c r="K26" s="247">
        <v>0</v>
      </c>
      <c r="N26" s="53" t="s">
        <v>102</v>
      </c>
      <c r="O26" s="54"/>
      <c r="P26" s="54"/>
      <c r="Q26" s="348" t="e">
        <f t="shared" ref="Q26:V26" si="0">SUM(Q15:Q24)</f>
        <v>#REF!</v>
      </c>
      <c r="R26" s="348">
        <f t="shared" si="0"/>
        <v>0</v>
      </c>
      <c r="S26" s="348">
        <f t="shared" si="0"/>
        <v>0</v>
      </c>
      <c r="T26" s="348">
        <f t="shared" si="0"/>
        <v>0</v>
      </c>
      <c r="U26" s="348">
        <f t="shared" si="0"/>
        <v>0</v>
      </c>
      <c r="V26" s="349" t="e">
        <f t="shared" si="0"/>
        <v>#REF!</v>
      </c>
      <c r="AB26" s="234">
        <f>SUM(AB16:AB19)</f>
        <v>0</v>
      </c>
      <c r="AC26" s="234">
        <f>SUM(AC16:AC19)</f>
        <v>0</v>
      </c>
      <c r="AD26">
        <f>SUM(AB26:AC26)</f>
        <v>0</v>
      </c>
    </row>
    <row r="27" spans="2:34" x14ac:dyDescent="0.15">
      <c r="B27" s="9"/>
      <c r="C27" s="81" t="s">
        <v>155</v>
      </c>
      <c r="D27" s="86">
        <f>VLOOKUP($B$32,一般費率,5)</f>
        <v>7.22</v>
      </c>
      <c r="F27" s="9">
        <v>2</v>
      </c>
      <c r="G27" s="32" t="s">
        <v>156</v>
      </c>
      <c r="H27" s="78"/>
      <c r="I27" s="78"/>
      <c r="J27" s="246">
        <f>HLOOKUP($B$32,共通補正,2)</f>
        <v>0.01</v>
      </c>
      <c r="K27" s="247">
        <f>HLOOKUP($B$32,現場補正,2)</f>
        <v>5.0000000000000001E-3</v>
      </c>
    </row>
    <row r="28" spans="2:34" ht="14.25" thickBot="1" x14ac:dyDescent="0.2">
      <c r="B28" s="9"/>
      <c r="C28" s="3" t="s">
        <v>146</v>
      </c>
      <c r="D28" s="405">
        <f>VLOOKUP($B$32,一般費率,3)</f>
        <v>-2.5765099999999999</v>
      </c>
      <c r="F28" s="9">
        <v>3</v>
      </c>
      <c r="G28" s="8" t="s">
        <v>157</v>
      </c>
      <c r="H28" s="32" t="s">
        <v>158</v>
      </c>
      <c r="I28" s="78"/>
      <c r="J28" s="246">
        <f>HLOOKUP($B$32,共通補正,3)</f>
        <v>1.4999999999999999E-2</v>
      </c>
      <c r="K28" s="247">
        <f>HLOOKUP($B$32,現場補正,3)</f>
        <v>0.01</v>
      </c>
      <c r="N28" t="s">
        <v>159</v>
      </c>
    </row>
    <row r="29" spans="2:34" x14ac:dyDescent="0.15">
      <c r="B29" s="9"/>
      <c r="C29" s="3" t="s">
        <v>147</v>
      </c>
      <c r="D29" s="405">
        <f>VLOOKUP($B$32,一般費率,4)</f>
        <v>31.63531</v>
      </c>
      <c r="F29" s="9">
        <v>4</v>
      </c>
      <c r="G29" s="8" t="s">
        <v>101</v>
      </c>
      <c r="H29" s="32" t="s">
        <v>160</v>
      </c>
      <c r="I29" s="78"/>
      <c r="J29" s="246">
        <f>HLOOKUP($B$32,共通補正,4)</f>
        <v>0</v>
      </c>
      <c r="K29" s="247">
        <f>HLOOKUP($B$32,現場補正,4)</f>
        <v>0</v>
      </c>
      <c r="N29" s="57"/>
      <c r="O29" s="47" t="s">
        <v>136</v>
      </c>
      <c r="P29" s="47" t="s">
        <v>136</v>
      </c>
      <c r="Q29" s="47" t="s">
        <v>137</v>
      </c>
      <c r="R29" s="47" t="s">
        <v>161</v>
      </c>
      <c r="S29" s="47" t="s">
        <v>336</v>
      </c>
      <c r="T29" s="47" t="s">
        <v>163</v>
      </c>
      <c r="U29" s="47" t="s">
        <v>164</v>
      </c>
      <c r="V29" s="58" t="s">
        <v>137</v>
      </c>
      <c r="X29" s="233"/>
    </row>
    <row r="30" spans="2:34" x14ac:dyDescent="0.15">
      <c r="N30" s="24" t="s">
        <v>97</v>
      </c>
      <c r="O30" s="6" t="s">
        <v>165</v>
      </c>
      <c r="P30" s="6" t="s">
        <v>166</v>
      </c>
      <c r="Q30" s="6" t="s">
        <v>165</v>
      </c>
      <c r="R30" s="6" t="s">
        <v>167</v>
      </c>
      <c r="S30" s="6" t="s">
        <v>168</v>
      </c>
      <c r="T30" s="6" t="s">
        <v>169</v>
      </c>
      <c r="U30" s="6" t="s">
        <v>170</v>
      </c>
      <c r="V30" s="59" t="s">
        <v>171</v>
      </c>
      <c r="Y30" s="100"/>
      <c r="AB30" s="34" t="s">
        <v>292</v>
      </c>
      <c r="AC30" s="34"/>
    </row>
    <row r="31" spans="2:34" ht="14.25" thickBot="1" x14ac:dyDescent="0.2">
      <c r="N31" s="60"/>
      <c r="O31" s="39" t="s">
        <v>172</v>
      </c>
      <c r="P31" s="39" t="s">
        <v>276</v>
      </c>
      <c r="Q31" s="39" t="s">
        <v>173</v>
      </c>
      <c r="R31" s="39" t="s">
        <v>284</v>
      </c>
      <c r="S31" s="39"/>
      <c r="T31" s="39"/>
      <c r="U31" s="39"/>
      <c r="V31" s="61" t="s">
        <v>174</v>
      </c>
      <c r="AB31" s="1" t="s">
        <v>289</v>
      </c>
      <c r="AC31" s="1" t="s">
        <v>291</v>
      </c>
      <c r="AD31" s="1" t="s">
        <v>288</v>
      </c>
      <c r="AF31" t="s">
        <v>294</v>
      </c>
    </row>
    <row r="32" spans="2:34" ht="15" customHeight="1" thickTop="1" x14ac:dyDescent="0.15">
      <c r="B32">
        <f>R2*100+S2</f>
        <v>2407</v>
      </c>
      <c r="N32" s="62">
        <v>1</v>
      </c>
      <c r="O32" s="41">
        <f>SUM(Q15:T15)</f>
        <v>0</v>
      </c>
      <c r="P32" s="41"/>
      <c r="Q32" s="41">
        <f>IF(O32+P32=0,0,O32+P32)</f>
        <v>0</v>
      </c>
      <c r="R32" s="41">
        <f>IF(Q32=0,0,IF(AND(B$95&lt;&gt;0,D89&lt;=C$95),B89+D$95,B89))</f>
        <v>0</v>
      </c>
      <c r="S32" s="77"/>
      <c r="T32" s="77"/>
      <c r="U32" s="77">
        <f>S32+T32</f>
        <v>0</v>
      </c>
      <c r="V32" s="63">
        <f>SUM(R15:S15,P32,R32,U32)</f>
        <v>0</v>
      </c>
      <c r="AB32">
        <f>IF(AND(AG$37&lt;&gt;0,AH32&lt;=AG$38),AF32+AH$38,AF32)</f>
        <v>0</v>
      </c>
      <c r="AD32">
        <f>SUM(AB32:AC32,AC15)</f>
        <v>0</v>
      </c>
      <c r="AF32">
        <f>TRUNC(AD15*AE$68)</f>
        <v>0</v>
      </c>
      <c r="AG32">
        <f>AD15*AE$68-AF32</f>
        <v>0</v>
      </c>
      <c r="AH32">
        <f>RANK(AG32,$AG$32:$AG$36)</f>
        <v>1</v>
      </c>
    </row>
    <row r="33" spans="2:34" ht="15" customHeight="1" x14ac:dyDescent="0.15">
      <c r="N33" s="62">
        <v>2</v>
      </c>
      <c r="O33" s="344">
        <f>SUM(Q16:T16)</f>
        <v>0</v>
      </c>
      <c r="P33" s="344"/>
      <c r="Q33" s="344">
        <f>IF(O33+P33=0,0,O33+P33)</f>
        <v>0</v>
      </c>
      <c r="R33" s="344">
        <f>IF(Q33=0,0,IF(AND(B$95&lt;&gt;0,D90&lt;=C$95),B90+D$95,B90))</f>
        <v>0</v>
      </c>
      <c r="S33" s="346"/>
      <c r="T33" s="346"/>
      <c r="U33" s="77">
        <f t="shared" ref="U33:U41" si="1">S33+T33</f>
        <v>0</v>
      </c>
      <c r="V33" s="345">
        <f>SUM(R16:S16,P33,R33,U33)</f>
        <v>0</v>
      </c>
      <c r="AB33">
        <f>IF(AND(AG$37&lt;&gt;0,AH33&lt;=AG$38),AF33+AH$38,AF33)</f>
        <v>0</v>
      </c>
      <c r="AC33" s="114">
        <f>IF($AB$11=1,IF(運搬!D4=0,S96,-運搬!D4/1000),0)</f>
        <v>0</v>
      </c>
      <c r="AD33">
        <f>SUM(AB33:AC33,AC16)</f>
        <v>0</v>
      </c>
      <c r="AF33">
        <f>TRUNC(AD16*AE$68)</f>
        <v>0</v>
      </c>
      <c r="AG33">
        <f>AD16*AE$68-AF33</f>
        <v>0</v>
      </c>
      <c r="AH33">
        <f>RANK(AG33,$AG$32:$AG$36)</f>
        <v>1</v>
      </c>
    </row>
    <row r="34" spans="2:34" ht="15" customHeight="1" x14ac:dyDescent="0.15">
      <c r="C34" t="s">
        <v>175</v>
      </c>
      <c r="G34" s="100" t="s">
        <v>176</v>
      </c>
      <c r="H34" t="s">
        <v>177</v>
      </c>
      <c r="N34" s="62">
        <v>3</v>
      </c>
      <c r="O34" s="344" t="e">
        <f>SUM(Q17:T17)</f>
        <v>#REF!</v>
      </c>
      <c r="P34" s="344"/>
      <c r="Q34" s="344" t="e">
        <f>IF(O34+P34=0,0,O34+P34)</f>
        <v>#REF!</v>
      </c>
      <c r="R34" s="344" t="e">
        <f>IF(Q34=0,0,IF(AND(B$95&lt;&gt;0,D91&lt;=C$95),B91+D$95,B91))</f>
        <v>#REF!</v>
      </c>
      <c r="S34" s="346">
        <f>運搬!D5/1000</f>
        <v>8</v>
      </c>
      <c r="T34" s="346" t="s">
        <v>154</v>
      </c>
      <c r="U34" s="346">
        <f t="shared" si="1"/>
        <v>8</v>
      </c>
      <c r="V34" s="345" t="e">
        <f>SUM(R17:S17,P34,R34,U34)</f>
        <v>#REF!</v>
      </c>
      <c r="Y34" s="100"/>
      <c r="AB34">
        <f>IF(AND(AG$37&lt;&gt;0,AH34&lt;=AG$38),AF34+AH$38,AF34)</f>
        <v>0</v>
      </c>
      <c r="AD34">
        <f>SUM(AB34:AC34,AC17)</f>
        <v>0</v>
      </c>
      <c r="AF34">
        <f>TRUNC(AD17*AE$68)</f>
        <v>0</v>
      </c>
      <c r="AG34">
        <f>AD17*AE$68-AF34</f>
        <v>0</v>
      </c>
      <c r="AH34">
        <f>RANK(AG34,$AG$32:$AG$36)</f>
        <v>1</v>
      </c>
    </row>
    <row r="35" spans="2:34" ht="15" customHeight="1" x14ac:dyDescent="0.15">
      <c r="C35" s="1" t="s">
        <v>178</v>
      </c>
      <c r="D35" s="1" t="s">
        <v>146</v>
      </c>
      <c r="E35" s="1" t="s">
        <v>147</v>
      </c>
      <c r="F35" s="1" t="s">
        <v>179</v>
      </c>
      <c r="H35" s="1" t="s">
        <v>178</v>
      </c>
      <c r="I35" s="1" t="s">
        <v>146</v>
      </c>
      <c r="J35" s="1" t="s">
        <v>147</v>
      </c>
      <c r="K35" s="1" t="s">
        <v>179</v>
      </c>
      <c r="N35" s="62">
        <v>4</v>
      </c>
      <c r="O35" s="344">
        <f>SUM(Q18:T18)</f>
        <v>0</v>
      </c>
      <c r="P35" s="344"/>
      <c r="Q35" s="344">
        <f>IF(O35+P35=0,0,O35+P35)</f>
        <v>0</v>
      </c>
      <c r="R35" s="344">
        <f>IF(Q35=0,0,IF(AND(B$95&lt;&gt;0,D92&lt;=C$95),B92+D$95,B92))</f>
        <v>0</v>
      </c>
      <c r="S35" s="346"/>
      <c r="T35" s="346"/>
      <c r="U35" s="77">
        <f t="shared" si="1"/>
        <v>0</v>
      </c>
      <c r="V35" s="345">
        <f>SUM(R18:S18,P35,R35,U35)</f>
        <v>0</v>
      </c>
      <c r="Y35" s="100"/>
      <c r="AB35">
        <f>IF(AND(AG$37&lt;&gt;0,AH35&lt;=AG$38),AF35+AH$38,AF35)</f>
        <v>0</v>
      </c>
      <c r="AD35">
        <f>SUM(AB35:AC35,AC18)</f>
        <v>0</v>
      </c>
      <c r="AF35">
        <f>TRUNC(AD18*AE$68)</f>
        <v>0</v>
      </c>
      <c r="AG35">
        <f>AD18*AE$68-AF35</f>
        <v>0</v>
      </c>
      <c r="AH35">
        <f>RANK(AG35,$AG$32:$AG$36)</f>
        <v>1</v>
      </c>
    </row>
    <row r="36" spans="2:34" ht="15" customHeight="1" x14ac:dyDescent="0.15">
      <c r="B36" s="122"/>
      <c r="C36" s="123"/>
      <c r="D36" s="124"/>
      <c r="E36" s="125"/>
      <c r="F36" s="123"/>
      <c r="G36" s="131"/>
      <c r="H36" s="123"/>
      <c r="I36" s="124"/>
      <c r="J36" s="125"/>
      <c r="K36" s="126"/>
      <c r="N36" s="260">
        <v>5</v>
      </c>
      <c r="O36" s="261">
        <f>SUM(Q19:T19)</f>
        <v>0</v>
      </c>
      <c r="P36" s="261"/>
      <c r="Q36" s="261">
        <f>IF(O36+P36=0,0,O36+P36)</f>
        <v>0</v>
      </c>
      <c r="R36" s="261">
        <f>IF(Q36=0,0,IF(AND(B$95&lt;&gt;0,D93&lt;=C$95),B93+D$95,B93))</f>
        <v>0</v>
      </c>
      <c r="S36" s="341"/>
      <c r="T36" s="341"/>
      <c r="U36" s="341">
        <f t="shared" si="1"/>
        <v>0</v>
      </c>
      <c r="V36" s="262">
        <f>SUM(R19:S19,P36,R36,U36)</f>
        <v>0</v>
      </c>
      <c r="AB36">
        <f>IF(AND(AG$37&lt;&gt;0,AH36&lt;=AG$38),AF36+AH$38,AF36)</f>
        <v>0</v>
      </c>
      <c r="AD36">
        <f>SUM(AB36:AC36,AC19)</f>
        <v>0</v>
      </c>
      <c r="AF36">
        <f>TRUNC(AD19*AE$68)</f>
        <v>0</v>
      </c>
      <c r="AG36">
        <f>AD19*AE$68-AF36</f>
        <v>0</v>
      </c>
      <c r="AH36">
        <f>RANK(AG36,$AG$32:$AG$36)</f>
        <v>1</v>
      </c>
    </row>
    <row r="37" spans="2:34" ht="15" customHeight="1" x14ac:dyDescent="0.15">
      <c r="B37" s="420">
        <v>2407</v>
      </c>
      <c r="C37" s="427"/>
      <c r="D37" s="427"/>
      <c r="E37" s="427"/>
      <c r="F37" s="427"/>
      <c r="G37" s="430"/>
      <c r="H37" s="422"/>
      <c r="I37" s="423"/>
      <c r="J37" s="427"/>
      <c r="K37" s="429"/>
      <c r="N37" s="62">
        <v>6</v>
      </c>
      <c r="O37" s="41"/>
      <c r="P37" s="41"/>
      <c r="Q37" s="41"/>
      <c r="R37" s="41"/>
      <c r="S37" s="41"/>
      <c r="T37" s="41"/>
      <c r="U37" s="77">
        <f t="shared" si="1"/>
        <v>0</v>
      </c>
      <c r="V37" s="63"/>
      <c r="X37" t="s">
        <v>69</v>
      </c>
      <c r="AF37" s="100" t="s">
        <v>290</v>
      </c>
      <c r="AG37" s="238">
        <f>AB43-SUM(AF32:AF36)</f>
        <v>0</v>
      </c>
    </row>
    <row r="38" spans="2:34" ht="15" customHeight="1" x14ac:dyDescent="0.15">
      <c r="B38" s="420"/>
      <c r="C38" s="21"/>
      <c r="D38" s="21"/>
      <c r="E38" s="21"/>
      <c r="F38" s="21"/>
      <c r="G38" s="449"/>
      <c r="H38" s="450"/>
      <c r="I38" s="451"/>
      <c r="J38" s="21"/>
      <c r="K38" s="96"/>
      <c r="N38" s="62">
        <v>7</v>
      </c>
      <c r="O38" s="41"/>
      <c r="P38" s="41"/>
      <c r="Q38" s="41"/>
      <c r="R38" s="41"/>
      <c r="S38" s="41"/>
      <c r="T38" s="41"/>
      <c r="U38" s="77">
        <f t="shared" si="1"/>
        <v>0</v>
      </c>
      <c r="V38" s="63"/>
      <c r="Y38" s="100" t="s">
        <v>320</v>
      </c>
      <c r="Z38" t="e">
        <f>Z42-Y11</f>
        <v>#REF!</v>
      </c>
      <c r="AG38" s="238">
        <f>ABS(AG37)</f>
        <v>0</v>
      </c>
      <c r="AH38" s="238">
        <f>IF(AG37=0,0,AG37/AG38)</f>
        <v>0</v>
      </c>
    </row>
    <row r="39" spans="2:34" ht="15" customHeight="1" x14ac:dyDescent="0.15">
      <c r="B39" s="421"/>
      <c r="C39" s="422"/>
      <c r="D39" s="423"/>
      <c r="E39" s="424"/>
      <c r="F39" s="422"/>
      <c r="G39" s="428"/>
      <c r="H39" s="422"/>
      <c r="I39" s="423"/>
      <c r="J39" s="424"/>
      <c r="K39" s="426"/>
      <c r="N39" s="62">
        <v>8</v>
      </c>
      <c r="O39" s="41"/>
      <c r="P39" s="41"/>
      <c r="Q39" s="41"/>
      <c r="R39" s="41"/>
      <c r="S39" s="41"/>
      <c r="T39" s="41"/>
      <c r="U39" s="77">
        <f t="shared" si="1"/>
        <v>0</v>
      </c>
      <c r="V39" s="63"/>
      <c r="Y39" s="100" t="s">
        <v>319</v>
      </c>
      <c r="Z39">
        <f>Z43-Y12</f>
        <v>-406</v>
      </c>
    </row>
    <row r="40" spans="2:34" ht="15" customHeight="1" x14ac:dyDescent="0.15">
      <c r="B40" s="420"/>
      <c r="C40" s="427"/>
      <c r="D40" s="427"/>
      <c r="E40" s="427"/>
      <c r="F40" s="427"/>
      <c r="G40" s="430"/>
      <c r="H40" s="422"/>
      <c r="I40" s="423"/>
      <c r="J40" s="427"/>
      <c r="K40" s="429"/>
      <c r="N40" s="62">
        <v>9</v>
      </c>
      <c r="O40" s="41"/>
      <c r="P40" s="41"/>
      <c r="Q40" s="41"/>
      <c r="R40" s="41"/>
      <c r="S40" s="41"/>
      <c r="T40" s="41"/>
      <c r="U40" s="77">
        <f t="shared" si="1"/>
        <v>0</v>
      </c>
      <c r="V40" s="63"/>
    </row>
    <row r="41" spans="2:34" ht="15" customHeight="1" thickBot="1" x14ac:dyDescent="0.2">
      <c r="B41" s="9"/>
      <c r="C41" s="3"/>
      <c r="D41" s="3"/>
      <c r="E41" s="3"/>
      <c r="F41" s="3"/>
      <c r="G41" s="231"/>
      <c r="H41" s="127"/>
      <c r="I41" s="129"/>
      <c r="J41" s="3"/>
      <c r="K41" s="80"/>
      <c r="N41" s="66">
        <v>10</v>
      </c>
      <c r="O41" s="44"/>
      <c r="P41" s="44"/>
      <c r="Q41" s="44"/>
      <c r="R41" s="44"/>
      <c r="S41" s="44"/>
      <c r="T41" s="44"/>
      <c r="U41" s="402">
        <f t="shared" si="1"/>
        <v>0</v>
      </c>
      <c r="V41" s="67"/>
      <c r="X41" t="s">
        <v>321</v>
      </c>
    </row>
    <row r="42" spans="2:34" ht="15" customHeight="1" thickTop="1" x14ac:dyDescent="0.15">
      <c r="N42" s="23"/>
      <c r="O42" s="195"/>
      <c r="P42" s="195"/>
      <c r="Q42" s="195"/>
      <c r="R42" s="195"/>
      <c r="S42" s="195"/>
      <c r="T42" s="195"/>
      <c r="U42" s="202"/>
      <c r="V42" s="201"/>
      <c r="Y42" s="100" t="s">
        <v>320</v>
      </c>
      <c r="Z42" t="e">
        <f>SUM(Z50,Z56,Z58)</f>
        <v>#REF!</v>
      </c>
    </row>
    <row r="43" spans="2:34" ht="15" customHeight="1" thickBot="1" x14ac:dyDescent="0.2">
      <c r="C43" t="s">
        <v>330</v>
      </c>
      <c r="G43" s="100" t="s">
        <v>331</v>
      </c>
      <c r="H43" t="s">
        <v>332</v>
      </c>
      <c r="N43" s="68" t="s">
        <v>102</v>
      </c>
      <c r="O43" s="348" t="e">
        <f>IF(SUM(O32:O41)=0,0,SUM(O32:O41))</f>
        <v>#REF!</v>
      </c>
      <c r="P43" s="358" t="s">
        <v>154</v>
      </c>
      <c r="Q43" s="348" t="e">
        <f>SUM(O43:P43)</f>
        <v>#REF!</v>
      </c>
      <c r="R43" s="348" t="e">
        <f>TRUNC(Q43*S68)</f>
        <v>#REF!</v>
      </c>
      <c r="S43" s="358">
        <f>SUM(S32:S41)</f>
        <v>8</v>
      </c>
      <c r="T43" s="358">
        <f>SUM(T32:T41)</f>
        <v>0</v>
      </c>
      <c r="U43" s="358">
        <f>SUM(U32:U41)</f>
        <v>8</v>
      </c>
      <c r="V43" s="349" t="e">
        <f>SUM(R26:S26,P43,R43,U43)</f>
        <v>#REF!</v>
      </c>
      <c r="Y43" s="100" t="s">
        <v>319</v>
      </c>
      <c r="Z43">
        <f>Z52</f>
        <v>0</v>
      </c>
      <c r="AB43">
        <f>TRUNC(AD26*AE68)</f>
        <v>0</v>
      </c>
      <c r="AC43" s="234">
        <f>SUM(AC33:AC36)</f>
        <v>0</v>
      </c>
      <c r="AD43" s="234">
        <f>SUM(AD33:AD36)</f>
        <v>0</v>
      </c>
    </row>
    <row r="44" spans="2:34" x14ac:dyDescent="0.15">
      <c r="C44" s="1" t="s">
        <v>178</v>
      </c>
      <c r="D44" s="1" t="s">
        <v>146</v>
      </c>
      <c r="E44" s="1" t="s">
        <v>147</v>
      </c>
      <c r="F44" s="1" t="s">
        <v>179</v>
      </c>
      <c r="H44" s="1" t="s">
        <v>178</v>
      </c>
      <c r="I44" s="1" t="s">
        <v>146</v>
      </c>
      <c r="J44" s="1" t="s">
        <v>147</v>
      </c>
      <c r="K44" s="1" t="s">
        <v>179</v>
      </c>
    </row>
    <row r="45" spans="2:34" ht="14.25" thickBot="1" x14ac:dyDescent="0.2">
      <c r="B45" s="5">
        <v>0</v>
      </c>
      <c r="C45" s="2"/>
      <c r="D45" s="2"/>
      <c r="E45" s="2"/>
      <c r="F45" s="2"/>
      <c r="G45" s="133"/>
      <c r="H45" s="2"/>
      <c r="I45" s="2"/>
      <c r="J45" s="2"/>
      <c r="K45" s="95"/>
      <c r="N45" t="s">
        <v>180</v>
      </c>
    </row>
    <row r="46" spans="2:34" x14ac:dyDescent="0.15">
      <c r="B46" s="10">
        <f>B37</f>
        <v>2407</v>
      </c>
      <c r="C46" s="422">
        <v>17.12</v>
      </c>
      <c r="D46" s="423">
        <v>257.2</v>
      </c>
      <c r="E46" s="424">
        <v>-0.1817</v>
      </c>
      <c r="F46" s="422">
        <v>5.96</v>
      </c>
      <c r="G46" s="132"/>
      <c r="H46" s="422">
        <v>29.65</v>
      </c>
      <c r="I46" s="423">
        <v>53.6</v>
      </c>
      <c r="J46" s="424">
        <v>-3.9699999999999999E-2</v>
      </c>
      <c r="K46" s="426">
        <v>23.54</v>
      </c>
      <c r="N46" s="57"/>
      <c r="O46" s="47" t="s">
        <v>181</v>
      </c>
      <c r="P46" s="47" t="s">
        <v>138</v>
      </c>
      <c r="Q46" s="47" t="s">
        <v>182</v>
      </c>
      <c r="R46" s="47" t="s">
        <v>183</v>
      </c>
      <c r="S46" s="47" t="s">
        <v>139</v>
      </c>
      <c r="T46" s="47" t="s">
        <v>184</v>
      </c>
      <c r="U46" s="47" t="s">
        <v>185</v>
      </c>
      <c r="V46" s="58" t="s">
        <v>186</v>
      </c>
      <c r="X46" s="230" t="s">
        <v>315</v>
      </c>
      <c r="Y46" s="270" t="s">
        <v>317</v>
      </c>
      <c r="Z46" s="270"/>
    </row>
    <row r="47" spans="2:34" x14ac:dyDescent="0.15">
      <c r="B47" s="10">
        <f>B38</f>
        <v>0</v>
      </c>
      <c r="C47" s="422"/>
      <c r="D47" s="423"/>
      <c r="E47" s="424"/>
      <c r="F47" s="422"/>
      <c r="G47" s="132"/>
      <c r="H47" s="422"/>
      <c r="I47" s="423"/>
      <c r="J47" s="424"/>
      <c r="K47" s="426"/>
      <c r="N47" s="24" t="s">
        <v>97</v>
      </c>
      <c r="O47" s="6" t="s">
        <v>187</v>
      </c>
      <c r="P47" s="6" t="s">
        <v>188</v>
      </c>
      <c r="Q47" s="6" t="s">
        <v>189</v>
      </c>
      <c r="R47" s="6" t="s">
        <v>190</v>
      </c>
      <c r="S47" s="6" t="s">
        <v>191</v>
      </c>
      <c r="T47" s="6" t="s">
        <v>192</v>
      </c>
      <c r="U47" s="6" t="s">
        <v>193</v>
      </c>
      <c r="V47" s="69" t="s">
        <v>194</v>
      </c>
      <c r="X47" s="230" t="s">
        <v>314</v>
      </c>
      <c r="Y47" s="230" t="s">
        <v>314</v>
      </c>
      <c r="Z47" s="230" t="s">
        <v>318</v>
      </c>
    </row>
    <row r="48" spans="2:34" ht="14.25" thickBot="1" x14ac:dyDescent="0.2">
      <c r="B48" s="10">
        <f>B39</f>
        <v>0</v>
      </c>
      <c r="C48" s="422"/>
      <c r="D48" s="423"/>
      <c r="E48" s="424"/>
      <c r="F48" s="422"/>
      <c r="G48" s="425"/>
      <c r="H48" s="422"/>
      <c r="I48" s="423"/>
      <c r="J48" s="424"/>
      <c r="K48" s="426"/>
      <c r="N48" s="60"/>
      <c r="O48" s="39" t="s">
        <v>283</v>
      </c>
      <c r="P48" s="39" t="s">
        <v>282</v>
      </c>
      <c r="Q48" s="39"/>
      <c r="R48" s="39" t="s">
        <v>195</v>
      </c>
      <c r="S48" s="39" t="s">
        <v>281</v>
      </c>
      <c r="T48" s="39" t="s">
        <v>280</v>
      </c>
      <c r="U48" s="39" t="s">
        <v>278</v>
      </c>
      <c r="V48" s="70" t="s">
        <v>279</v>
      </c>
      <c r="X48" s="230" t="s">
        <v>316</v>
      </c>
      <c r="Y48" s="230"/>
      <c r="Z48" s="230"/>
      <c r="AB48" t="s">
        <v>138</v>
      </c>
      <c r="AC48" t="s">
        <v>306</v>
      </c>
      <c r="AD48" t="s">
        <v>139</v>
      </c>
      <c r="AF48" t="s">
        <v>293</v>
      </c>
    </row>
    <row r="49" spans="2:34" ht="15" customHeight="1" thickTop="1" x14ac:dyDescent="0.15">
      <c r="B49" s="10">
        <f>B40</f>
        <v>0</v>
      </c>
      <c r="C49" s="422"/>
      <c r="D49" s="423"/>
      <c r="E49" s="424"/>
      <c r="F49" s="422"/>
      <c r="G49" s="132"/>
      <c r="H49" s="422"/>
      <c r="I49" s="423"/>
      <c r="J49" s="424"/>
      <c r="K49" s="426"/>
      <c r="N49" s="72">
        <v>1</v>
      </c>
      <c r="O49" s="74">
        <f>IF(Q15+V32=0,0,Q15+V32)</f>
        <v>0</v>
      </c>
      <c r="P49" s="74">
        <f>IF(O49=0,0,IF(AND(F$95&lt;&gt;0,H89&lt;=G$95),F89+H$95,F89))</f>
        <v>0</v>
      </c>
      <c r="Q49" s="74"/>
      <c r="R49" s="263">
        <f>SUM(O49:Q49)</f>
        <v>0</v>
      </c>
      <c r="S49" s="263">
        <f>SUM(X54:Y54)</f>
        <v>0</v>
      </c>
      <c r="T49" s="263">
        <f>SUM(R49:S49)</f>
        <v>0</v>
      </c>
      <c r="U49" s="264">
        <f>T49*0.05</f>
        <v>0</v>
      </c>
      <c r="V49" s="265">
        <f>T49+U49</f>
        <v>0</v>
      </c>
      <c r="X49" s="271">
        <f>IF(R7=0,0,IF(AND(X69&lt;&gt;0,Z62&lt;=Y$70),X62+Z$70,X62))</f>
        <v>0</v>
      </c>
      <c r="Y49">
        <f t="shared" ref="Y49:Y58" si="2">IF(R112=0,0,IF(AND(B$111&lt;&gt;0,D100&lt;=C$111),B100+D$111,B100))</f>
        <v>0</v>
      </c>
      <c r="Z49" s="114">
        <f t="shared" ref="Z49:Z58" si="3">R112+Y49</f>
        <v>0</v>
      </c>
      <c r="AB49">
        <f>IF(AND(AG$54&lt;&gt;0,AH49&lt;=AG$55),AF49+AH$55,AF49)</f>
        <v>0</v>
      </c>
      <c r="AC49">
        <f>AB15+AD32+AB49</f>
        <v>0</v>
      </c>
      <c r="AD49">
        <f>IF(AND(AG$71&lt;&gt;0,AH61&lt;=AG$72),AF61+AH$72,AF61)</f>
        <v>0</v>
      </c>
      <c r="AE49">
        <f>SUM(AC49:AD49)</f>
        <v>0</v>
      </c>
      <c r="AF49">
        <f>TRUNC((AB15+AD32)*AE70)</f>
        <v>0</v>
      </c>
      <c r="AG49">
        <f>(AB15+AD32)*AE70-AF49</f>
        <v>0</v>
      </c>
      <c r="AH49">
        <f>RANK(AG49,$AG49:$AG53)</f>
        <v>1</v>
      </c>
    </row>
    <row r="50" spans="2:34" ht="15" customHeight="1" x14ac:dyDescent="0.15">
      <c r="B50" s="9">
        <f>B41</f>
        <v>0</v>
      </c>
      <c r="C50" s="127"/>
      <c r="D50" s="129"/>
      <c r="E50" s="130"/>
      <c r="F50" s="127"/>
      <c r="G50" s="134"/>
      <c r="H50" s="127"/>
      <c r="I50" s="129"/>
      <c r="J50" s="130"/>
      <c r="K50" s="128"/>
      <c r="N50" s="72">
        <v>2</v>
      </c>
      <c r="O50" s="353">
        <f>IF(Q16+V33=0,0,Q16+V33)</f>
        <v>0</v>
      </c>
      <c r="P50" s="353">
        <f>IF(O50=0,0,IF(AND(F$95&lt;&gt;0,H90&lt;=G$95),F90+H$95,F90))</f>
        <v>0</v>
      </c>
      <c r="Q50" s="353"/>
      <c r="R50" s="354">
        <f>SUM(O50:Q50)</f>
        <v>0</v>
      </c>
      <c r="S50" s="263">
        <f>SUM(X55:Y55)</f>
        <v>0</v>
      </c>
      <c r="T50" s="263">
        <f>SUM(R50:S50)</f>
        <v>0</v>
      </c>
      <c r="U50" s="264">
        <f>T50*0.05</f>
        <v>0</v>
      </c>
      <c r="V50" s="265">
        <f>T50+U50</f>
        <v>0</v>
      </c>
      <c r="X50" s="271">
        <f>IF(R8=0,0,IF(AND(X70&lt;&gt;0,Z63&lt;=Y$70),X63+Z$70,X63))</f>
        <v>0</v>
      </c>
      <c r="Y50">
        <f t="shared" si="2"/>
        <v>0</v>
      </c>
      <c r="Z50" s="114">
        <f t="shared" si="3"/>
        <v>0</v>
      </c>
      <c r="AB50">
        <f>IF(AND(AG$54&lt;&gt;0,AH50&lt;=AG$55),AF50+AH$55,AF50)</f>
        <v>0</v>
      </c>
      <c r="AC50">
        <f>AB16+AD33+AB50</f>
        <v>0</v>
      </c>
      <c r="AD50">
        <f>IF(AND(AG$71&lt;&gt;0,AH62&lt;=AG$72),AF62+AH$72,AF62)</f>
        <v>0</v>
      </c>
      <c r="AE50">
        <f t="shared" ref="AE50:AE60" si="4">SUM(AC50:AD50)</f>
        <v>0</v>
      </c>
      <c r="AF50">
        <f>TRUNC((AB16+AD33)*AE70)</f>
        <v>0</v>
      </c>
      <c r="AG50">
        <f>(AB16+AD33)*AE70-AF50</f>
        <v>0</v>
      </c>
      <c r="AH50">
        <f>RANK(AG50,$AG49:$AG53)</f>
        <v>1</v>
      </c>
    </row>
    <row r="51" spans="2:34" ht="15" customHeight="1" x14ac:dyDescent="0.15">
      <c r="N51" s="72">
        <v>3</v>
      </c>
      <c r="O51" s="353" t="e">
        <f>IF(Q17+V34=0,0,Q17+V34)</f>
        <v>#REF!</v>
      </c>
      <c r="P51" s="353" t="e">
        <f>IF(O51=0,0,IF(AND(F$95&lt;&gt;0,H91&lt;=G$95),F91+H$95,F91))</f>
        <v>#REF!</v>
      </c>
      <c r="Q51" s="353"/>
      <c r="R51" s="354" t="e">
        <f>SUM(O51:Q51)</f>
        <v>#REF!</v>
      </c>
      <c r="S51" s="354" t="e">
        <f>SUM(X56:Y56)</f>
        <v>#REF!</v>
      </c>
      <c r="T51" s="354" t="e">
        <f>SUM(R51:S51)</f>
        <v>#REF!</v>
      </c>
      <c r="U51" s="355" t="e">
        <f>T51*0.05</f>
        <v>#REF!</v>
      </c>
      <c r="V51" s="356" t="e">
        <f>T51+U51</f>
        <v>#REF!</v>
      </c>
      <c r="X51" s="271">
        <f>IF(R9=0,0,IF(AND(X71&lt;&gt;0,Z64&lt;=Y$70),X64+Z$70,X64))</f>
        <v>0</v>
      </c>
      <c r="Y51">
        <f t="shared" si="2"/>
        <v>0</v>
      </c>
      <c r="Z51" s="114">
        <f t="shared" si="3"/>
        <v>0</v>
      </c>
      <c r="AB51">
        <f>IF(AND(AG$54&lt;&gt;0,AH51&lt;=AG$55),AF51+AH$55,AF51)</f>
        <v>0</v>
      </c>
      <c r="AC51">
        <f>AB17+AD34+AB51</f>
        <v>0</v>
      </c>
      <c r="AD51">
        <f t="shared" ref="AD51:AD58" si="5">IF(AND(AG$71&lt;&gt;0,AH63&lt;=AG$72),AF63+AH$72,AF63)</f>
        <v>0</v>
      </c>
      <c r="AE51">
        <f t="shared" si="4"/>
        <v>0</v>
      </c>
      <c r="AF51">
        <f>TRUNC((AB17+AD34)*AE70)</f>
        <v>0</v>
      </c>
      <c r="AG51">
        <f>(AB17+AD34)*AE70-AF51</f>
        <v>0</v>
      </c>
      <c r="AH51">
        <f>RANK(AG51,$AG49:$AG53)</f>
        <v>1</v>
      </c>
    </row>
    <row r="52" spans="2:34" ht="15" customHeight="1" x14ac:dyDescent="0.15">
      <c r="C52" t="s">
        <v>196</v>
      </c>
      <c r="N52" s="72">
        <v>4</v>
      </c>
      <c r="O52" s="353">
        <f>IF(Q18+V35=0,0,Q18+V35)</f>
        <v>0</v>
      </c>
      <c r="P52" s="353">
        <f>IF(O52=0,0,IF(AND(F$95&lt;&gt;0,H92&lt;=G$95),F92+H$95,F92))</f>
        <v>0</v>
      </c>
      <c r="Q52" s="353"/>
      <c r="R52" s="354">
        <f>SUM(O52:Q52)</f>
        <v>0</v>
      </c>
      <c r="S52" s="263">
        <f>SUM(X57:Y57)</f>
        <v>0</v>
      </c>
      <c r="T52" s="263">
        <f>SUM(R52:S52)</f>
        <v>0</v>
      </c>
      <c r="U52" s="264">
        <f>T52*0.05</f>
        <v>0</v>
      </c>
      <c r="V52" s="265">
        <f>T52+U52</f>
        <v>0</v>
      </c>
      <c r="X52" s="271">
        <f>IF(R73=0,0,IF(AND(X72&lt;&gt;0,Z65&lt;=Y$70),X65+Z$70,X65))</f>
        <v>0</v>
      </c>
      <c r="Y52">
        <f t="shared" si="2"/>
        <v>0</v>
      </c>
      <c r="Z52" s="114">
        <f t="shared" si="3"/>
        <v>0</v>
      </c>
      <c r="AB52">
        <f>IF(AND(AG$54&lt;&gt;0,AH52&lt;=AG$55),AF52+AH$55,AF52)</f>
        <v>0</v>
      </c>
      <c r="AC52">
        <f>AB18+AD35+AB52</f>
        <v>0</v>
      </c>
      <c r="AD52">
        <f t="shared" si="5"/>
        <v>0</v>
      </c>
      <c r="AE52">
        <f t="shared" si="4"/>
        <v>0</v>
      </c>
      <c r="AF52">
        <f>TRUNC((AB18+AD35)*AE70)</f>
        <v>0</v>
      </c>
      <c r="AG52">
        <f>(AB18+AD35)*AE70-AF52</f>
        <v>0</v>
      </c>
      <c r="AH52">
        <f>RANK(AG52,$AG49:$AG53)</f>
        <v>1</v>
      </c>
    </row>
    <row r="53" spans="2:34" ht="15" customHeight="1" x14ac:dyDescent="0.15">
      <c r="C53" s="1" t="s">
        <v>178</v>
      </c>
      <c r="D53" s="1" t="s">
        <v>146</v>
      </c>
      <c r="E53" s="1" t="s">
        <v>147</v>
      </c>
      <c r="F53" s="1" t="s">
        <v>179</v>
      </c>
      <c r="N53" s="260">
        <v>5</v>
      </c>
      <c r="O53" s="337">
        <f>IF(Q19+V36=0,0,Q19+V36)</f>
        <v>0</v>
      </c>
      <c r="P53" s="337">
        <f>IF(O53=0,0,IF(AND(F$95&lt;&gt;0,H93&lt;=G$95),F93+H$95,F93))</f>
        <v>0</v>
      </c>
      <c r="Q53" s="337"/>
      <c r="R53" s="338">
        <f>SUM(O53:Q53)</f>
        <v>0</v>
      </c>
      <c r="S53" s="338">
        <f>SUM(X58:Y58)</f>
        <v>0</v>
      </c>
      <c r="T53" s="338">
        <f>SUM(R53:S53)</f>
        <v>0</v>
      </c>
      <c r="U53" s="339">
        <f>T53*0.05</f>
        <v>0</v>
      </c>
      <c r="V53" s="340">
        <f>T53+U53</f>
        <v>0</v>
      </c>
      <c r="X53" s="271">
        <f>IF(R74=0,0,IF(AND(X73&lt;&gt;0,Z66&lt;=Y$70),X66+Z$70,X66))</f>
        <v>0</v>
      </c>
      <c r="Y53">
        <f t="shared" si="2"/>
        <v>0</v>
      </c>
      <c r="Z53" s="114">
        <f t="shared" si="3"/>
        <v>0</v>
      </c>
      <c r="AB53">
        <f>IF(AND(AG$54&lt;&gt;0,AH53&lt;=AG$55),AF53+AH$55,AF53)</f>
        <v>0</v>
      </c>
      <c r="AC53">
        <f>AB19+AD36+AB53</f>
        <v>0</v>
      </c>
      <c r="AD53">
        <f t="shared" si="5"/>
        <v>0</v>
      </c>
      <c r="AE53">
        <f t="shared" si="4"/>
        <v>0</v>
      </c>
      <c r="AF53">
        <f>TRUNC((AB19+AD36)*AE70)</f>
        <v>0</v>
      </c>
      <c r="AG53">
        <f>(AB19+AD36)*AE70-AF53</f>
        <v>0</v>
      </c>
      <c r="AH53">
        <f>RANK(AG53,$AG49:$AG53)</f>
        <v>1</v>
      </c>
    </row>
    <row r="54" spans="2:34" ht="15" customHeight="1" x14ac:dyDescent="0.15">
      <c r="B54" s="5">
        <v>0</v>
      </c>
      <c r="C54" s="2"/>
      <c r="D54" s="2"/>
      <c r="E54" s="2"/>
      <c r="F54" s="95"/>
      <c r="N54" s="62">
        <v>6</v>
      </c>
      <c r="O54" s="74"/>
      <c r="P54" s="74"/>
      <c r="Q54" s="74"/>
      <c r="R54" s="263"/>
      <c r="S54" s="263"/>
      <c r="T54" s="263"/>
      <c r="U54" s="264"/>
      <c r="V54" s="265"/>
      <c r="X54" s="271">
        <f>IF(R7=0,0,IF(AND(X$70&lt;&gt;0,Z63&lt;=Y$70),X63+Z$70,X63))</f>
        <v>0</v>
      </c>
      <c r="Y54">
        <f t="shared" si="2"/>
        <v>0</v>
      </c>
      <c r="Z54" s="114">
        <f t="shared" si="3"/>
        <v>0</v>
      </c>
      <c r="AC54">
        <f>SUM(AB78,AD95,AB112:AC112)</f>
        <v>0</v>
      </c>
      <c r="AD54">
        <f t="shared" si="5"/>
        <v>0</v>
      </c>
      <c r="AE54">
        <f t="shared" si="4"/>
        <v>0</v>
      </c>
      <c r="AF54" s="100" t="s">
        <v>290</v>
      </c>
      <c r="AG54" s="238">
        <f>AB60-SUM(AF49:AF53)</f>
        <v>0</v>
      </c>
    </row>
    <row r="55" spans="2:34" ht="15" customHeight="1" x14ac:dyDescent="0.15">
      <c r="B55" s="10">
        <f>B37</f>
        <v>2407</v>
      </c>
      <c r="C55" s="422">
        <v>14.38</v>
      </c>
      <c r="D55" s="431">
        <v>-2.5765099999999999</v>
      </c>
      <c r="E55" s="431">
        <v>31.63531</v>
      </c>
      <c r="F55" s="426">
        <v>7.22</v>
      </c>
      <c r="N55" s="72">
        <v>7</v>
      </c>
      <c r="O55" s="74"/>
      <c r="P55" s="74"/>
      <c r="Q55" s="74"/>
      <c r="R55" s="41"/>
      <c r="S55" s="41"/>
      <c r="T55" s="41"/>
      <c r="U55" s="41"/>
      <c r="V55" s="63"/>
      <c r="X55" s="271">
        <f>IF(R8=0,0,IF(AND(X$70&lt;&gt;0,Z64&lt;=Y$70),X64+Z$70,X64))</f>
        <v>0</v>
      </c>
      <c r="Y55">
        <f t="shared" si="2"/>
        <v>0</v>
      </c>
      <c r="Z55" s="114">
        <f t="shared" si="3"/>
        <v>0</v>
      </c>
      <c r="AC55">
        <f>SUM(AB78,AD95,AB112:AC112)</f>
        <v>0</v>
      </c>
      <c r="AD55">
        <f t="shared" si="5"/>
        <v>0</v>
      </c>
      <c r="AE55">
        <f t="shared" si="4"/>
        <v>0</v>
      </c>
      <c r="AG55" s="238">
        <f>ABS(AG54)</f>
        <v>0</v>
      </c>
      <c r="AH55" s="238">
        <f>IF(AG54=0,0,AG54/AG55)</f>
        <v>0</v>
      </c>
    </row>
    <row r="56" spans="2:34" ht="15" customHeight="1" x14ac:dyDescent="0.15">
      <c r="B56" s="10">
        <f>B38</f>
        <v>0</v>
      </c>
      <c r="C56" s="422"/>
      <c r="D56" s="431"/>
      <c r="E56" s="431"/>
      <c r="F56" s="426"/>
      <c r="N56" s="72">
        <v>8</v>
      </c>
      <c r="O56" s="74"/>
      <c r="P56" s="74"/>
      <c r="Q56" s="74"/>
      <c r="R56" s="41"/>
      <c r="S56" s="41"/>
      <c r="T56" s="41"/>
      <c r="U56" s="41"/>
      <c r="V56" s="63"/>
      <c r="X56" s="271">
        <f>IF(R9=0,0,IF(AND(X$70&lt;&gt;0,Z65&lt;=Y$70),X65+Z$70,X65))</f>
        <v>0</v>
      </c>
      <c r="Y56" t="e">
        <f t="shared" si="2"/>
        <v>#REF!</v>
      </c>
      <c r="Z56" s="114" t="e">
        <f t="shared" si="3"/>
        <v>#REF!</v>
      </c>
      <c r="AC56">
        <f>SUM(AB79,AD96,AB113:AC113)</f>
        <v>0</v>
      </c>
      <c r="AD56">
        <f t="shared" si="5"/>
        <v>0</v>
      </c>
      <c r="AE56">
        <f t="shared" si="4"/>
        <v>0</v>
      </c>
    </row>
    <row r="57" spans="2:34" ht="15" customHeight="1" x14ac:dyDescent="0.15">
      <c r="B57" s="10">
        <f>B39</f>
        <v>0</v>
      </c>
      <c r="C57" s="422"/>
      <c r="D57" s="431"/>
      <c r="E57" s="431"/>
      <c r="F57" s="426"/>
      <c r="N57" s="72">
        <v>9</v>
      </c>
      <c r="O57" s="74"/>
      <c r="P57" s="74"/>
      <c r="Q57" s="74"/>
      <c r="R57" s="41"/>
      <c r="S57" s="41"/>
      <c r="T57" s="41"/>
      <c r="U57" s="41"/>
      <c r="V57" s="63"/>
      <c r="X57" s="271">
        <f>IF(R73=0,0,IF(AND(X$70&lt;&gt;0,Z66&lt;=Y$70),X66+Z$70,X66))</f>
        <v>0</v>
      </c>
      <c r="Y57">
        <f t="shared" si="2"/>
        <v>0</v>
      </c>
      <c r="Z57" s="114">
        <f t="shared" si="3"/>
        <v>0</v>
      </c>
      <c r="AC57">
        <f>SUM(AB80,AD97,AB114:AC114)</f>
        <v>0</v>
      </c>
      <c r="AD57">
        <f t="shared" si="5"/>
        <v>0</v>
      </c>
      <c r="AE57">
        <f t="shared" si="4"/>
        <v>0</v>
      </c>
    </row>
    <row r="58" spans="2:34" ht="15" customHeight="1" thickBot="1" x14ac:dyDescent="0.2">
      <c r="B58" s="10">
        <f>B40</f>
        <v>0</v>
      </c>
      <c r="C58" s="422"/>
      <c r="D58" s="431"/>
      <c r="E58" s="431"/>
      <c r="F58" s="426"/>
      <c r="N58" s="73">
        <v>10</v>
      </c>
      <c r="O58" s="75"/>
      <c r="P58" s="75"/>
      <c r="Q58" s="75"/>
      <c r="R58" s="44"/>
      <c r="S58" s="44"/>
      <c r="T58" s="44"/>
      <c r="U58" s="44"/>
      <c r="V58" s="67"/>
      <c r="X58" s="271">
        <f>IF(R74=0,0,IF(AND(X$70&lt;&gt;0,Z67&lt;=Y$70),X67+Z$70,X67))</f>
        <v>0</v>
      </c>
      <c r="Y58">
        <f t="shared" si="2"/>
        <v>0</v>
      </c>
      <c r="Z58" s="114">
        <f t="shared" si="3"/>
        <v>0</v>
      </c>
      <c r="AC58">
        <f>SUM(AB81,AD98,AB115:AC115)</f>
        <v>0</v>
      </c>
      <c r="AD58">
        <f t="shared" si="5"/>
        <v>0</v>
      </c>
      <c r="AE58">
        <f t="shared" si="4"/>
        <v>0</v>
      </c>
    </row>
    <row r="59" spans="2:34" ht="15" customHeight="1" thickTop="1" x14ac:dyDescent="0.15">
      <c r="B59" s="9">
        <f>B41</f>
        <v>0</v>
      </c>
      <c r="C59" s="3"/>
      <c r="D59" s="269"/>
      <c r="E59" s="269"/>
      <c r="F59" s="80"/>
      <c r="N59" s="23"/>
      <c r="O59" s="195"/>
      <c r="P59" s="195"/>
      <c r="Q59" s="195"/>
      <c r="R59" s="195"/>
      <c r="S59" s="195"/>
      <c r="T59" s="195"/>
      <c r="U59" s="203"/>
      <c r="V59" s="204"/>
      <c r="X59" s="271"/>
    </row>
    <row r="60" spans="2:34" ht="15" customHeight="1" thickBot="1" x14ac:dyDescent="0.2">
      <c r="N60" s="68" t="s">
        <v>102</v>
      </c>
      <c r="O60" s="357" t="e">
        <f>IF(+Q26+V43=0,0,+Q26+V43)</f>
        <v>#REF!</v>
      </c>
      <c r="P60" s="357" t="e">
        <f>TRUNC(O60*S70)</f>
        <v>#REF!</v>
      </c>
      <c r="Q60" s="76">
        <f>SUM(Q49:Q58)</f>
        <v>0</v>
      </c>
      <c r="R60" s="357" t="e">
        <f>IF(O60+P60+Q60=0,0,SUM(R49:R58))</f>
        <v>#REF!</v>
      </c>
      <c r="S60" s="357" t="e">
        <f>TRUNC(R60*S72)</f>
        <v>#REF!</v>
      </c>
      <c r="T60" s="357" t="e">
        <f>SUM(R60:S60)</f>
        <v>#REF!</v>
      </c>
      <c r="U60" s="406" t="e">
        <f>T60*0.05</f>
        <v>#REF!</v>
      </c>
      <c r="V60" s="407" t="e">
        <f>T60+U60</f>
        <v>#REF!</v>
      </c>
      <c r="X60" s="271">
        <f>SUM(X49:X58)</f>
        <v>0</v>
      </c>
      <c r="Y60" t="e">
        <f>SUM(Y49:Y58)</f>
        <v>#REF!</v>
      </c>
      <c r="Z60" t="e">
        <f>SUM(Z49:Z58)</f>
        <v>#REF!</v>
      </c>
      <c r="AB60">
        <f>TRUNC(AB70*AE70)</f>
        <v>0</v>
      </c>
      <c r="AC60">
        <f>SUM(AC49:AC58)</f>
        <v>0</v>
      </c>
      <c r="AD60">
        <f>TRUNC(AB72*AE72)</f>
        <v>0</v>
      </c>
      <c r="AE60">
        <f t="shared" si="4"/>
        <v>0</v>
      </c>
      <c r="AF60" t="s">
        <v>295</v>
      </c>
    </row>
    <row r="61" spans="2:34" x14ac:dyDescent="0.15">
      <c r="B61" t="s">
        <v>197</v>
      </c>
      <c r="AF61">
        <f>TRUNC(AC49*AE$72)</f>
        <v>0</v>
      </c>
      <c r="AG61">
        <f>AC49*AE$72-AF61</f>
        <v>0</v>
      </c>
      <c r="AH61">
        <f>RANK(AG61,AG$61:AG$70)</f>
        <v>1</v>
      </c>
    </row>
    <row r="62" spans="2:34" ht="14.25" thickBot="1" x14ac:dyDescent="0.2">
      <c r="B62" s="5"/>
      <c r="C62" s="2"/>
      <c r="D62" s="2">
        <v>0</v>
      </c>
      <c r="E62" s="135">
        <f>B$37</f>
        <v>2407</v>
      </c>
      <c r="F62" s="2">
        <f>B$38</f>
        <v>0</v>
      </c>
      <c r="G62" s="2">
        <f>B$39</f>
        <v>0</v>
      </c>
      <c r="H62" s="2">
        <f>B$40</f>
        <v>0</v>
      </c>
      <c r="I62" s="95">
        <f>B$41</f>
        <v>0</v>
      </c>
      <c r="N62" t="s">
        <v>198</v>
      </c>
      <c r="Q62" t="s">
        <v>464</v>
      </c>
      <c r="AF62">
        <f t="shared" ref="AF62:AF70" si="6">TRUNC(AC50*AE$72)</f>
        <v>0</v>
      </c>
      <c r="AG62">
        <f>AC50*AE$72-AF62</f>
        <v>0</v>
      </c>
      <c r="AH62">
        <f t="shared" ref="AH62:AH70" si="7">RANK(AG62,AG$61:AG$70)</f>
        <v>1</v>
      </c>
    </row>
    <row r="63" spans="2:34" x14ac:dyDescent="0.15">
      <c r="B63" s="10" t="s">
        <v>156</v>
      </c>
      <c r="C63" s="21"/>
      <c r="D63" s="21"/>
      <c r="E63" s="452">
        <v>0.01</v>
      </c>
      <c r="F63" s="432"/>
      <c r="G63" s="432"/>
      <c r="H63" s="432"/>
      <c r="I63" s="433"/>
      <c r="N63" s="759" t="s">
        <v>199</v>
      </c>
      <c r="O63" s="760"/>
      <c r="P63" s="47" t="s">
        <v>200</v>
      </c>
      <c r="Q63" s="763" t="s">
        <v>201</v>
      </c>
      <c r="R63" s="763" t="s">
        <v>202</v>
      </c>
      <c r="S63" s="763" t="s">
        <v>203</v>
      </c>
      <c r="T63" s="765" t="s">
        <v>204</v>
      </c>
      <c r="U63" s="766"/>
      <c r="V63" s="767"/>
      <c r="X63" t="e">
        <f>TRUNC(Y50*X$71/X$72)</f>
        <v>#REF!</v>
      </c>
      <c r="Y63" t="e">
        <f>X63-Y50*X$71/X$72</f>
        <v>#REF!</v>
      </c>
      <c r="Z63" t="e">
        <f>RANK(Y63,Y$63:Y$68)</f>
        <v>#REF!</v>
      </c>
      <c r="AF63">
        <f t="shared" si="6"/>
        <v>0</v>
      </c>
      <c r="AG63">
        <f t="shared" ref="AG63:AG70" si="8">AC51*AE$72-AF63</f>
        <v>0</v>
      </c>
      <c r="AH63">
        <f t="shared" si="7"/>
        <v>1</v>
      </c>
    </row>
    <row r="64" spans="2:34" ht="14.25" thickBot="1" x14ac:dyDescent="0.2">
      <c r="B64" s="10" t="s">
        <v>205</v>
      </c>
      <c r="C64" s="21"/>
      <c r="D64" s="21"/>
      <c r="E64" s="452">
        <v>1.4999999999999999E-2</v>
      </c>
      <c r="F64" s="432"/>
      <c r="G64" s="432"/>
      <c r="H64" s="432"/>
      <c r="I64" s="433"/>
      <c r="N64" s="761"/>
      <c r="O64" s="762"/>
      <c r="P64" s="56" t="s">
        <v>206</v>
      </c>
      <c r="Q64" s="764" t="s">
        <v>207</v>
      </c>
      <c r="R64" s="764"/>
      <c r="S64" s="764" t="s">
        <v>207</v>
      </c>
      <c r="T64" s="768"/>
      <c r="U64" s="769"/>
      <c r="V64" s="770"/>
      <c r="AF64">
        <f t="shared" si="6"/>
        <v>0</v>
      </c>
      <c r="AG64">
        <f t="shared" si="8"/>
        <v>0</v>
      </c>
      <c r="AH64">
        <f t="shared" si="7"/>
        <v>1</v>
      </c>
    </row>
    <row r="65" spans="2:34" ht="14.25" thickTop="1" x14ac:dyDescent="0.15">
      <c r="B65" s="9" t="s">
        <v>208</v>
      </c>
      <c r="C65" s="3"/>
      <c r="D65" s="3"/>
      <c r="E65" s="434">
        <v>0</v>
      </c>
      <c r="F65" s="435"/>
      <c r="G65" s="435"/>
      <c r="H65" s="435"/>
      <c r="I65" s="436"/>
      <c r="N65" s="24"/>
      <c r="O65" s="6"/>
      <c r="P65" s="359"/>
      <c r="Q65" s="232"/>
      <c r="R65" s="232"/>
      <c r="S65" s="361"/>
      <c r="T65" s="10"/>
      <c r="U65" s="21"/>
      <c r="V65" s="22"/>
      <c r="X65" t="e">
        <f>TRUNC(Y56*X$71/X$72)</f>
        <v>#REF!</v>
      </c>
      <c r="Y65" t="e">
        <f>X65-Y56*X$71/X$72</f>
        <v>#REF!</v>
      </c>
      <c r="Z65" t="e">
        <f>RANK(Y65,Y$63:Y$68)</f>
        <v>#REF!</v>
      </c>
      <c r="AF65">
        <f t="shared" si="6"/>
        <v>0</v>
      </c>
      <c r="AG65">
        <f t="shared" si="8"/>
        <v>0</v>
      </c>
      <c r="AH65">
        <f t="shared" si="7"/>
        <v>1</v>
      </c>
    </row>
    <row r="66" spans="2:34" x14ac:dyDescent="0.15">
      <c r="N66" s="27" t="s">
        <v>146</v>
      </c>
      <c r="O66" s="8" t="s">
        <v>136</v>
      </c>
      <c r="P66" s="360" t="e">
        <f>O43</f>
        <v>#REF!</v>
      </c>
      <c r="Q66" s="240">
        <v>0</v>
      </c>
      <c r="R66" s="240">
        <v>0</v>
      </c>
      <c r="S66" s="362" t="s">
        <v>154</v>
      </c>
      <c r="T66" s="10" t="s">
        <v>255</v>
      </c>
      <c r="U66" s="21"/>
      <c r="V66" s="22"/>
      <c r="AB66">
        <f>AD26</f>
        <v>0</v>
      </c>
      <c r="AF66">
        <f t="shared" si="6"/>
        <v>0</v>
      </c>
      <c r="AG66">
        <f t="shared" si="8"/>
        <v>0</v>
      </c>
      <c r="AH66">
        <f t="shared" si="7"/>
        <v>1</v>
      </c>
    </row>
    <row r="67" spans="2:34" x14ac:dyDescent="0.15">
      <c r="B67" t="s">
        <v>209</v>
      </c>
      <c r="N67" s="24"/>
      <c r="O67" s="6"/>
      <c r="P67" s="359"/>
      <c r="Q67" s="248"/>
      <c r="R67" s="252"/>
      <c r="S67" s="363"/>
      <c r="T67" s="771"/>
      <c r="U67" s="772"/>
      <c r="V67" s="251"/>
      <c r="X67" t="e">
        <f>TRUNC(Y58*X$71/X$72)</f>
        <v>#REF!</v>
      </c>
      <c r="Y67" t="e">
        <f>X67-Y58*X$71/X$72</f>
        <v>#REF!</v>
      </c>
      <c r="Z67" t="e">
        <f>RANK(Y67,Y$63:Y$68)</f>
        <v>#REF!</v>
      </c>
      <c r="AF67">
        <f t="shared" si="6"/>
        <v>0</v>
      </c>
      <c r="AG67">
        <f t="shared" si="8"/>
        <v>0</v>
      </c>
      <c r="AH67">
        <f t="shared" si="7"/>
        <v>1</v>
      </c>
    </row>
    <row r="68" spans="2:34" x14ac:dyDescent="0.15">
      <c r="B68" s="5"/>
      <c r="C68" s="2"/>
      <c r="D68" s="2">
        <v>0</v>
      </c>
      <c r="E68" s="135">
        <f>B$37</f>
        <v>2407</v>
      </c>
      <c r="F68" s="2">
        <f>B$38</f>
        <v>0</v>
      </c>
      <c r="G68" s="2">
        <f>B$39</f>
        <v>0</v>
      </c>
      <c r="H68" s="2">
        <f>B$40</f>
        <v>0</v>
      </c>
      <c r="I68" s="95">
        <f>B$41</f>
        <v>0</v>
      </c>
      <c r="N68" s="27" t="s">
        <v>210</v>
      </c>
      <c r="O68" s="8" t="s">
        <v>137</v>
      </c>
      <c r="P68" s="360" t="e">
        <f>Q43</f>
        <v>#REF!</v>
      </c>
      <c r="Q68" s="241" t="e">
        <f>IF(AND(Q43&gt;3*10^3,Q43&lt;=10^6),ROUND(J21*(Q43*1000)^J22,2),IF(Q43&lt;=10^4,J19,J20))/100</f>
        <v>#REF!</v>
      </c>
      <c r="R68" s="240">
        <f>R131</f>
        <v>0</v>
      </c>
      <c r="S68" s="364" t="e">
        <f>SUM(Q68:R68)</f>
        <v>#REF!</v>
      </c>
      <c r="T68" s="10"/>
      <c r="U68" s="79" t="e">
        <f>IF(R6=1,TEXT(Q135,"0.00% × ")&amp;TEXT(R5,"0.00")&amp;" ＝ ","")</f>
        <v>#VALUE!</v>
      </c>
      <c r="V68" s="249" t="e">
        <f>ROUND(Q72*R72,4)</f>
        <v>#REF!</v>
      </c>
      <c r="AB68">
        <f>AB66</f>
        <v>0</v>
      </c>
      <c r="AC68" s="236">
        <f>IF(AND(AB68&gt;10^4,AB68&lt;=2*10^6),ROUND(D21*(AB68*1000)^D22,2),IF(AB68&lt;=10^4,D19,D20))/100</f>
        <v>0</v>
      </c>
      <c r="AD68" s="235">
        <f>R131</f>
        <v>0</v>
      </c>
      <c r="AE68" s="237">
        <f>SUM(AC68:AD68)</f>
        <v>0</v>
      </c>
      <c r="AF68">
        <f t="shared" si="6"/>
        <v>0</v>
      </c>
      <c r="AG68">
        <f t="shared" si="8"/>
        <v>0</v>
      </c>
      <c r="AH68">
        <f t="shared" si="7"/>
        <v>1</v>
      </c>
    </row>
    <row r="69" spans="2:34" x14ac:dyDescent="0.15">
      <c r="B69" s="10" t="s">
        <v>156</v>
      </c>
      <c r="C69" s="21"/>
      <c r="D69" s="21"/>
      <c r="E69" s="453">
        <v>5.0000000000000001E-3</v>
      </c>
      <c r="F69" s="437"/>
      <c r="G69" s="437"/>
      <c r="H69" s="437"/>
      <c r="I69" s="438"/>
      <c r="N69" s="24"/>
      <c r="O69" s="6"/>
      <c r="P69" s="359"/>
      <c r="Q69" s="248"/>
      <c r="R69" s="252"/>
      <c r="S69" s="363"/>
      <c r="T69" s="10"/>
      <c r="U69" s="21"/>
      <c r="V69" s="91"/>
      <c r="X69" t="e">
        <f>SUM(X63:X67)</f>
        <v>#REF!</v>
      </c>
      <c r="AC69" s="235"/>
      <c r="AD69" s="235"/>
      <c r="AE69" s="235"/>
      <c r="AF69">
        <f t="shared" si="6"/>
        <v>0</v>
      </c>
      <c r="AG69">
        <f t="shared" si="8"/>
        <v>0</v>
      </c>
      <c r="AH69">
        <f t="shared" si="7"/>
        <v>1</v>
      </c>
    </row>
    <row r="70" spans="2:34" x14ac:dyDescent="0.15">
      <c r="B70" s="10" t="s">
        <v>205</v>
      </c>
      <c r="C70" s="21"/>
      <c r="D70" s="21"/>
      <c r="E70" s="453">
        <v>0.01</v>
      </c>
      <c r="F70" s="437"/>
      <c r="G70" s="437"/>
      <c r="H70" s="437"/>
      <c r="I70" s="438"/>
      <c r="N70" s="27" t="s">
        <v>211</v>
      </c>
      <c r="O70" s="8" t="s">
        <v>138</v>
      </c>
      <c r="P70" s="360" t="e">
        <f>O60</f>
        <v>#REF!</v>
      </c>
      <c r="Q70" s="242" t="e">
        <f>IF(AND(O60&gt;3*10^3,O60&lt;=10^6),ROUND(K21*(O60*1000)^K22,2),IF(O60&lt;=10^4,K19,K20))/100</f>
        <v>#REF!</v>
      </c>
      <c r="R70" s="240">
        <f>R133</f>
        <v>0</v>
      </c>
      <c r="S70" s="364" t="e">
        <f>SUM(Q70:R70)</f>
        <v>#REF!</v>
      </c>
      <c r="T70" s="10" t="s">
        <v>256</v>
      </c>
      <c r="U70" s="21"/>
      <c r="V70" s="22"/>
      <c r="X70" t="e">
        <f>X71-X69</f>
        <v>#REF!</v>
      </c>
      <c r="Y70" t="e">
        <f>ABS(X70)</f>
        <v>#REF!</v>
      </c>
      <c r="Z70" t="e">
        <f>IF(X71=X69,0,X70/Y70)</f>
        <v>#REF!</v>
      </c>
      <c r="AB70">
        <f>AB26+AD43</f>
        <v>0</v>
      </c>
      <c r="AC70" s="237">
        <f>IF(AND(AB70&gt;10^4,AB70&lt;=2*10^6),ROUND($E21*(AB70*1000)^$E22,2),IF(AB70&lt;=10^4,$E19,$E20))/100</f>
        <v>0</v>
      </c>
      <c r="AD70" s="235">
        <f>R133</f>
        <v>0</v>
      </c>
      <c r="AE70" s="237">
        <f>SUM(AC70:AD70)</f>
        <v>0</v>
      </c>
      <c r="AF70">
        <f t="shared" si="6"/>
        <v>0</v>
      </c>
      <c r="AG70">
        <f t="shared" si="8"/>
        <v>0</v>
      </c>
      <c r="AH70">
        <f t="shared" si="7"/>
        <v>1</v>
      </c>
    </row>
    <row r="71" spans="2:34" x14ac:dyDescent="0.15">
      <c r="B71" s="9" t="s">
        <v>208</v>
      </c>
      <c r="C71" s="3"/>
      <c r="D71" s="3"/>
      <c r="E71" s="439">
        <v>0</v>
      </c>
      <c r="F71" s="440"/>
      <c r="G71" s="440"/>
      <c r="H71" s="440"/>
      <c r="I71" s="441"/>
      <c r="N71" s="24"/>
      <c r="O71" s="6"/>
      <c r="P71" s="359"/>
      <c r="Q71" s="248"/>
      <c r="R71" s="244"/>
      <c r="S71" s="363"/>
      <c r="T71" s="771"/>
      <c r="U71" s="772"/>
      <c r="V71" s="251"/>
      <c r="X71" t="e">
        <f>Z38-Z42</f>
        <v>#REF!</v>
      </c>
      <c r="AC71" s="235"/>
      <c r="AD71" s="235"/>
      <c r="AE71" s="235"/>
      <c r="AF71" s="100" t="s">
        <v>290</v>
      </c>
      <c r="AG71" s="238">
        <f>AD60-SUM(AF61:AF70)</f>
        <v>0</v>
      </c>
    </row>
    <row r="72" spans="2:34" ht="14.25" thickBot="1" x14ac:dyDescent="0.2">
      <c r="N72" s="68" t="s">
        <v>212</v>
      </c>
      <c r="O72" s="29" t="s">
        <v>139</v>
      </c>
      <c r="P72" s="348" t="e">
        <f>R60</f>
        <v>#REF!</v>
      </c>
      <c r="Q72" s="243" t="e">
        <f>IF(AND(P72&gt;5*10^3,P72&lt;=3*10^6),ROUND(($D$28*LOG(P72*1000)+$D$29),2),IF(P72&lt;=5*10^3,$D$26,$D$27))/100</f>
        <v>#REF!</v>
      </c>
      <c r="R72" s="245">
        <f>R5</f>
        <v>1</v>
      </c>
      <c r="S72" s="365" t="e">
        <f>V68+R6*0.04/100</f>
        <v>#REF!</v>
      </c>
      <c r="T72" s="30"/>
      <c r="U72" s="196" t="e">
        <f>IF(R$6=0,0,TEXT(V$68,"0.00%")&amp;" ＋ 0.04 ＝ ")</f>
        <v>#VALUE!</v>
      </c>
      <c r="V72" s="250" t="e">
        <f>IF(R$6=0,0,S$72)</f>
        <v>#REF!</v>
      </c>
      <c r="X72" t="e">
        <f>SUM(Y50,Y56,Y58)</f>
        <v>#REF!</v>
      </c>
      <c r="AB72">
        <f>SUM(AC49:AC58)</f>
        <v>0</v>
      </c>
      <c r="AC72" s="237">
        <f>IF(AND(AB72&gt;5*10^3,AB72&lt;=3*10^6),ROUND(($D28*LOG(AB72*1000)+$D29),2),IF(AB72&lt;=5*10^3,$D26,$D27))/100</f>
        <v>0.14380000000000001</v>
      </c>
      <c r="AD72" s="235">
        <f>R135</f>
        <v>1</v>
      </c>
      <c r="AE72" s="237">
        <f>ROUND(AC72*AD72,4)+R6*0.04%</f>
        <v>0.14420000000000002</v>
      </c>
      <c r="AG72" s="238">
        <f>ABS(AG71)</f>
        <v>0</v>
      </c>
      <c r="AH72" s="238">
        <f>IF(AG71=0,0,AG71/AG72)</f>
        <v>0</v>
      </c>
    </row>
    <row r="73" spans="2:34" ht="17.25" hidden="1" x14ac:dyDescent="0.2">
      <c r="N73" s="33" t="s">
        <v>112</v>
      </c>
      <c r="O73" s="34"/>
      <c r="P73" s="34"/>
      <c r="Q73" s="34"/>
      <c r="R73" s="34"/>
      <c r="S73" s="34"/>
      <c r="T73" s="34"/>
      <c r="U73" s="34"/>
      <c r="V73" s="34"/>
    </row>
    <row r="74" spans="2:34" ht="14.25" hidden="1" thickBot="1" x14ac:dyDescent="0.2">
      <c r="N74" t="s">
        <v>114</v>
      </c>
      <c r="V74" t="s">
        <v>115</v>
      </c>
    </row>
    <row r="75" spans="2:34" hidden="1" x14ac:dyDescent="0.15">
      <c r="N75" s="45"/>
      <c r="O75" s="46"/>
      <c r="P75" s="18"/>
      <c r="Q75" s="47" t="s">
        <v>117</v>
      </c>
      <c r="R75" s="763" t="s">
        <v>118</v>
      </c>
      <c r="S75" s="47" t="s">
        <v>119</v>
      </c>
      <c r="T75" s="763" t="s">
        <v>120</v>
      </c>
      <c r="U75" s="763" t="s">
        <v>121</v>
      </c>
      <c r="V75" s="58" t="s">
        <v>102</v>
      </c>
    </row>
    <row r="76" spans="2:34" hidden="1" x14ac:dyDescent="0.15">
      <c r="B76" t="s">
        <v>133</v>
      </c>
      <c r="N76" s="49" t="s">
        <v>123</v>
      </c>
      <c r="O76" s="25"/>
      <c r="P76" s="25"/>
      <c r="Q76" s="6" t="s">
        <v>124</v>
      </c>
      <c r="R76" s="773"/>
      <c r="S76" s="6" t="s">
        <v>125</v>
      </c>
      <c r="T76" s="773"/>
      <c r="U76" s="773"/>
      <c r="V76" s="69" t="s">
        <v>126</v>
      </c>
      <c r="AB76" t="s">
        <v>285</v>
      </c>
    </row>
    <row r="77" spans="2:34" ht="14.25" hidden="1" thickBot="1" x14ac:dyDescent="0.2">
      <c r="B77" t="s">
        <v>136</v>
      </c>
      <c r="F77" t="s">
        <v>137</v>
      </c>
      <c r="J77" t="s">
        <v>138</v>
      </c>
      <c r="N77" s="51"/>
      <c r="O77" s="35"/>
      <c r="P77" s="36"/>
      <c r="Q77" s="39" t="s">
        <v>127</v>
      </c>
      <c r="R77" s="39" t="s">
        <v>128</v>
      </c>
      <c r="S77" s="39" t="s">
        <v>129</v>
      </c>
      <c r="T77" s="39" t="s">
        <v>130</v>
      </c>
      <c r="U77" s="39" t="s">
        <v>131</v>
      </c>
      <c r="V77" s="70" t="s">
        <v>132</v>
      </c>
      <c r="AB77" s="233" t="s">
        <v>286</v>
      </c>
      <c r="AC77" s="233" t="s">
        <v>287</v>
      </c>
      <c r="AD77" s="233" t="s">
        <v>288</v>
      </c>
    </row>
    <row r="78" spans="2:34" ht="15" hidden="1" customHeight="1" thickTop="1" x14ac:dyDescent="0.15">
      <c r="B78" s="5">
        <f t="shared" ref="B78:B83" si="9">TRUNC(S$129*O95/100)</f>
        <v>0</v>
      </c>
      <c r="C78" s="2">
        <f t="shared" ref="C78:C83" si="10">S$129*O95/100-B78</f>
        <v>0</v>
      </c>
      <c r="D78" s="95">
        <f t="shared" ref="D78:D83" si="11">RANK(C78,C$78:C$83)</f>
        <v>1</v>
      </c>
      <c r="F78" s="5">
        <f t="shared" ref="F78:F83" si="12">TRUNC(Q95*S$131,0)</f>
        <v>0</v>
      </c>
      <c r="G78" s="2">
        <f t="shared" ref="G78:G83" si="13">Q95*S$131-F78</f>
        <v>0</v>
      </c>
      <c r="H78" s="95">
        <f t="shared" ref="H78:H83" si="14">RANK(G78,G$78:G$83)</f>
        <v>1</v>
      </c>
      <c r="J78" s="5">
        <f t="shared" ref="J78:J83" si="15">TRUNC(O112*S$133,0)</f>
        <v>0</v>
      </c>
      <c r="K78" s="2">
        <f t="shared" ref="K78:K83" si="16">O112*S$133-J78</f>
        <v>0</v>
      </c>
      <c r="L78" s="95">
        <f t="shared" ref="L78:L83" si="17">RANK(K78,K$78:K$83)</f>
        <v>1</v>
      </c>
      <c r="N78" s="62">
        <v>1</v>
      </c>
      <c r="O78" s="115"/>
      <c r="P78" s="37"/>
      <c r="Q78" s="198"/>
      <c r="R78" s="198"/>
      <c r="S78" s="199"/>
      <c r="T78" s="199"/>
      <c r="U78" s="199"/>
      <c r="V78" s="63">
        <f>IF(SUM(Q78:U78)=0,0,SUM(Q78:U78))</f>
        <v>0</v>
      </c>
      <c r="AB78" s="114"/>
      <c r="AC78" s="114"/>
    </row>
    <row r="79" spans="2:34" ht="15" hidden="1" customHeight="1" x14ac:dyDescent="0.15">
      <c r="B79" s="10">
        <f t="shared" si="9"/>
        <v>0</v>
      </c>
      <c r="C79" s="21">
        <f t="shared" si="10"/>
        <v>0</v>
      </c>
      <c r="D79" s="96">
        <f t="shared" si="11"/>
        <v>1</v>
      </c>
      <c r="F79" s="10">
        <f t="shared" si="12"/>
        <v>0</v>
      </c>
      <c r="G79" s="21">
        <f t="shared" si="13"/>
        <v>0</v>
      </c>
      <c r="H79" s="96">
        <f t="shared" si="14"/>
        <v>1</v>
      </c>
      <c r="J79" s="10">
        <f t="shared" si="15"/>
        <v>0</v>
      </c>
      <c r="K79" s="21">
        <f t="shared" si="16"/>
        <v>0</v>
      </c>
      <c r="L79" s="96">
        <f t="shared" si="17"/>
        <v>1</v>
      </c>
      <c r="N79" s="62">
        <v>2</v>
      </c>
      <c r="O79" s="342" t="s">
        <v>72</v>
      </c>
      <c r="P79" s="343"/>
      <c r="Q79" s="344"/>
      <c r="R79" s="344"/>
      <c r="S79" s="344"/>
      <c r="T79" s="344"/>
      <c r="U79" s="344"/>
      <c r="V79" s="345">
        <f>IF(SUM(Q79:U79)=0,0,SUM(Q79:U79))</f>
        <v>0</v>
      </c>
      <c r="AB79" s="114">
        <f>IF($AB$11=1,IF(#REF!=0,Q16,-#REF!/1000),0)</f>
        <v>0</v>
      </c>
      <c r="AC79" s="114">
        <f>IF($AB$11=1,IF(#REF!=0,R17,-#REF!/1000),0)</f>
        <v>0</v>
      </c>
      <c r="AD79">
        <f>SUM(AB79:AC79)</f>
        <v>0</v>
      </c>
    </row>
    <row r="80" spans="2:34" ht="15" hidden="1" customHeight="1" x14ac:dyDescent="0.15">
      <c r="B80" s="10">
        <f t="shared" si="9"/>
        <v>0</v>
      </c>
      <c r="C80" s="21">
        <f t="shared" si="10"/>
        <v>0</v>
      </c>
      <c r="D80" s="96">
        <f t="shared" si="11"/>
        <v>1</v>
      </c>
      <c r="F80" s="10">
        <f t="shared" si="12"/>
        <v>0</v>
      </c>
      <c r="G80" s="21">
        <f t="shared" si="13"/>
        <v>0</v>
      </c>
      <c r="H80" s="96">
        <f t="shared" si="14"/>
        <v>1</v>
      </c>
      <c r="J80" s="10">
        <f t="shared" si="15"/>
        <v>0</v>
      </c>
      <c r="K80" s="21">
        <f t="shared" si="16"/>
        <v>0</v>
      </c>
      <c r="L80" s="96">
        <f t="shared" si="17"/>
        <v>1</v>
      </c>
      <c r="N80" s="62">
        <v>3</v>
      </c>
      <c r="O80" s="342" t="s">
        <v>73</v>
      </c>
      <c r="P80" s="343"/>
      <c r="Q80" s="346"/>
      <c r="R80" s="344"/>
      <c r="S80" s="347"/>
      <c r="T80" s="347"/>
      <c r="U80" s="347"/>
      <c r="V80" s="345">
        <f>IF(SUM(Q80:U80)=0,0,SUM(Q80:U80))</f>
        <v>0</v>
      </c>
      <c r="AB80" s="114"/>
      <c r="AC80" s="114"/>
    </row>
    <row r="81" spans="2:34" ht="15" hidden="1" customHeight="1" x14ac:dyDescent="0.15">
      <c r="B81" s="10">
        <f t="shared" si="9"/>
        <v>0</v>
      </c>
      <c r="C81" s="21">
        <f t="shared" si="10"/>
        <v>0</v>
      </c>
      <c r="D81" s="96">
        <f t="shared" si="11"/>
        <v>1</v>
      </c>
      <c r="F81" s="10">
        <f t="shared" si="12"/>
        <v>0</v>
      </c>
      <c r="G81" s="21">
        <f t="shared" si="13"/>
        <v>0</v>
      </c>
      <c r="H81" s="96">
        <f t="shared" si="14"/>
        <v>1</v>
      </c>
      <c r="J81" s="10">
        <f t="shared" si="15"/>
        <v>0</v>
      </c>
      <c r="K81" s="21">
        <f t="shared" si="16"/>
        <v>0</v>
      </c>
      <c r="L81" s="96">
        <f t="shared" si="17"/>
        <v>1</v>
      </c>
      <c r="N81" s="62">
        <v>4</v>
      </c>
      <c r="O81" s="342" t="s">
        <v>75</v>
      </c>
      <c r="P81" s="343"/>
      <c r="Q81" s="344"/>
      <c r="R81" s="344"/>
      <c r="S81" s="344"/>
      <c r="T81" s="344"/>
      <c r="U81" s="344"/>
      <c r="V81" s="345">
        <f>IF(SUM(Q81:U81)=0,0,SUM(Q81:U81))</f>
        <v>0</v>
      </c>
      <c r="AB81" s="114">
        <f>IF($AB$11=1,IF(#REF!=0,Q18,-#REF!/1000),0)</f>
        <v>0</v>
      </c>
      <c r="AC81" s="114"/>
      <c r="AD81">
        <f>SUM(AB81:AC81)</f>
        <v>0</v>
      </c>
    </row>
    <row r="82" spans="2:34" ht="15" hidden="1" customHeight="1" x14ac:dyDescent="0.15">
      <c r="B82" s="10">
        <f t="shared" si="9"/>
        <v>0</v>
      </c>
      <c r="C82" s="21">
        <f t="shared" si="10"/>
        <v>0</v>
      </c>
      <c r="D82" s="96">
        <f t="shared" si="11"/>
        <v>1</v>
      </c>
      <c r="E82" s="21"/>
      <c r="F82" s="10">
        <f t="shared" si="12"/>
        <v>0</v>
      </c>
      <c r="G82" s="21">
        <f t="shared" si="13"/>
        <v>0</v>
      </c>
      <c r="H82" s="96">
        <f t="shared" si="14"/>
        <v>1</v>
      </c>
      <c r="I82" s="21"/>
      <c r="J82" s="10">
        <f t="shared" si="15"/>
        <v>0</v>
      </c>
      <c r="K82" s="21">
        <f t="shared" si="16"/>
        <v>0</v>
      </c>
      <c r="L82" s="96">
        <f t="shared" si="17"/>
        <v>1</v>
      </c>
      <c r="N82" s="64">
        <v>5</v>
      </c>
      <c r="O82" s="367"/>
      <c r="P82" s="38"/>
      <c r="Q82" s="42"/>
      <c r="R82" s="42"/>
      <c r="S82" s="42"/>
      <c r="T82" s="42"/>
      <c r="U82" s="42"/>
      <c r="V82" s="65">
        <f>IF(SUM(Q82:U82)=0,0,SUM(Q82:U82))</f>
        <v>0</v>
      </c>
      <c r="AB82" s="114">
        <f>IF($AB$11=1,IF(#REF!=0,Q19,-#REF!/1000),0)</f>
        <v>0</v>
      </c>
      <c r="AC82" s="114"/>
    </row>
    <row r="83" spans="2:34" ht="15" hidden="1" customHeight="1" x14ac:dyDescent="0.15">
      <c r="B83" s="43">
        <f t="shared" si="9"/>
        <v>0</v>
      </c>
      <c r="C83" s="97">
        <f t="shared" si="10"/>
        <v>0</v>
      </c>
      <c r="D83" s="98">
        <f t="shared" si="11"/>
        <v>1</v>
      </c>
      <c r="F83" s="43">
        <f t="shared" si="12"/>
        <v>0</v>
      </c>
      <c r="G83" s="97">
        <f t="shared" si="13"/>
        <v>0</v>
      </c>
      <c r="H83" s="98">
        <f t="shared" si="14"/>
        <v>1</v>
      </c>
      <c r="J83" s="43">
        <f t="shared" si="15"/>
        <v>0</v>
      </c>
      <c r="K83" s="97">
        <f t="shared" si="16"/>
        <v>0</v>
      </c>
      <c r="L83" s="98">
        <f t="shared" si="17"/>
        <v>1</v>
      </c>
      <c r="N83" s="62">
        <v>6</v>
      </c>
      <c r="O83" s="115"/>
      <c r="P83" s="37"/>
      <c r="Q83" s="41"/>
      <c r="R83" s="41"/>
      <c r="S83" s="41"/>
      <c r="T83" s="41"/>
      <c r="U83" s="41"/>
      <c r="V83" s="63"/>
      <c r="AB83" s="114"/>
      <c r="AC83" s="114"/>
    </row>
    <row r="84" spans="2:34" ht="15" hidden="1" customHeight="1" x14ac:dyDescent="0.15">
      <c r="B84" s="10">
        <f>SUM(B78:B83)</f>
        <v>0</v>
      </c>
      <c r="C84" s="21"/>
      <c r="D84" s="96"/>
      <c r="F84" s="10">
        <f>SUM(F78:F83)</f>
        <v>0</v>
      </c>
      <c r="G84" s="21"/>
      <c r="H84" s="96"/>
      <c r="J84" s="10">
        <f>SUM(J78:J83)</f>
        <v>0</v>
      </c>
      <c r="K84" s="21"/>
      <c r="L84" s="96"/>
      <c r="N84" s="62">
        <v>7</v>
      </c>
      <c r="O84" s="332" t="s">
        <v>76</v>
      </c>
      <c r="P84" s="37"/>
      <c r="Q84" s="41"/>
      <c r="R84" s="41"/>
      <c r="S84" s="41"/>
      <c r="T84" s="41"/>
      <c r="U84" s="41"/>
      <c r="V84" s="63"/>
      <c r="AB84" s="114"/>
      <c r="AC84" s="114"/>
    </row>
    <row r="85" spans="2:34" ht="15" hidden="1" customHeight="1" x14ac:dyDescent="0.15">
      <c r="B85" s="9">
        <f>P106-B84</f>
        <v>0</v>
      </c>
      <c r="C85" s="3">
        <f>ABS(B85)</f>
        <v>0</v>
      </c>
      <c r="D85" s="80">
        <f>IF(P106=B84,0,B85/C85)</f>
        <v>0</v>
      </c>
      <c r="F85" s="9">
        <f>R106-F84</f>
        <v>0</v>
      </c>
      <c r="G85" s="3">
        <f>ABS(F85)</f>
        <v>0</v>
      </c>
      <c r="H85" s="80">
        <f>IF(R106=F84,0,F85/G85)</f>
        <v>0</v>
      </c>
      <c r="J85" s="9">
        <f>P123-J84</f>
        <v>0</v>
      </c>
      <c r="K85" s="3">
        <f>ABS(J85)</f>
        <v>0</v>
      </c>
      <c r="L85" s="80">
        <f>IF(P123=J84,0,J85/K85)</f>
        <v>0</v>
      </c>
      <c r="N85" s="62">
        <v>8</v>
      </c>
      <c r="O85" s="332" t="s">
        <v>78</v>
      </c>
      <c r="P85" s="37"/>
      <c r="Q85" s="41"/>
      <c r="R85" s="41"/>
      <c r="S85" s="41"/>
      <c r="T85" s="41"/>
      <c r="U85" s="41"/>
      <c r="V85" s="63"/>
      <c r="AB85" s="114"/>
      <c r="AC85" s="114"/>
    </row>
    <row r="86" spans="2:34" ht="15" hidden="1" customHeight="1" x14ac:dyDescent="0.15">
      <c r="N86" s="62">
        <v>9</v>
      </c>
      <c r="O86" s="332" t="s">
        <v>77</v>
      </c>
      <c r="P86" s="37"/>
      <c r="Q86" s="41"/>
      <c r="R86" s="41"/>
      <c r="S86" s="41"/>
      <c r="T86" s="41"/>
      <c r="U86" s="41"/>
      <c r="V86" s="63"/>
      <c r="AB86" s="114"/>
      <c r="AC86" s="114"/>
    </row>
    <row r="87" spans="2:34" ht="15" hidden="1" customHeight="1" thickBot="1" x14ac:dyDescent="0.2">
      <c r="B87" t="s">
        <v>134</v>
      </c>
      <c r="N87" s="66">
        <v>10</v>
      </c>
      <c r="O87" s="334"/>
      <c r="P87" s="35"/>
      <c r="Q87" s="44"/>
      <c r="R87" s="44"/>
      <c r="S87" s="44"/>
      <c r="T87" s="44"/>
      <c r="U87" s="44"/>
      <c r="V87" s="67"/>
      <c r="AB87" s="114"/>
      <c r="AC87" s="114"/>
    </row>
    <row r="88" spans="2:34" ht="15" hidden="1" customHeight="1" thickTop="1" x14ac:dyDescent="0.15">
      <c r="B88" t="s">
        <v>137</v>
      </c>
      <c r="F88" t="s">
        <v>138</v>
      </c>
      <c r="N88" s="49"/>
      <c r="O88" s="25"/>
      <c r="P88" s="21"/>
      <c r="Q88" s="195"/>
      <c r="R88" s="195"/>
      <c r="S88" s="200"/>
      <c r="T88" s="200"/>
      <c r="U88" s="200"/>
      <c r="V88" s="201"/>
      <c r="AB88" s="114"/>
      <c r="AC88" s="114"/>
    </row>
    <row r="89" spans="2:34" ht="15" hidden="1" customHeight="1" thickBot="1" x14ac:dyDescent="0.2">
      <c r="B89" s="5" t="e">
        <f>TRUNC(Q32*S$68,0)</f>
        <v>#REF!</v>
      </c>
      <c r="C89" s="2" t="e">
        <f>Q32*S$68-B89</f>
        <v>#REF!</v>
      </c>
      <c r="D89" s="95" t="e">
        <f>RANK(C89,C$89:C$93)</f>
        <v>#REF!</v>
      </c>
      <c r="F89" s="5" t="e">
        <f>TRUNC(O49*S$70,0)</f>
        <v>#REF!</v>
      </c>
      <c r="G89" s="2" t="e">
        <f>O49*S$70-F89</f>
        <v>#REF!</v>
      </c>
      <c r="H89" s="95" t="e">
        <f>RANK(G89,G$89:G$93)</f>
        <v>#REF!</v>
      </c>
      <c r="N89" s="53" t="s">
        <v>102</v>
      </c>
      <c r="O89" s="54"/>
      <c r="P89" s="54"/>
      <c r="Q89" s="348">
        <f t="shared" ref="Q89:V89" si="18">SUM(Q78:Q87)</f>
        <v>0</v>
      </c>
      <c r="R89" s="348">
        <f t="shared" si="18"/>
        <v>0</v>
      </c>
      <c r="S89" s="348">
        <f t="shared" si="18"/>
        <v>0</v>
      </c>
      <c r="T89" s="348">
        <f t="shared" si="18"/>
        <v>0</v>
      </c>
      <c r="U89" s="348">
        <f t="shared" si="18"/>
        <v>0</v>
      </c>
      <c r="V89" s="349">
        <f t="shared" si="18"/>
        <v>0</v>
      </c>
      <c r="AB89" s="234">
        <f>SUM(AB79:AB82)</f>
        <v>0</v>
      </c>
      <c r="AC89" s="234">
        <f>SUM(AC79:AC82)</f>
        <v>0</v>
      </c>
      <c r="AD89">
        <f>SUM(AB89:AC89)</f>
        <v>0</v>
      </c>
    </row>
    <row r="90" spans="2:34" hidden="1" x14ac:dyDescent="0.15">
      <c r="B90" s="10" t="e">
        <f>TRUNC(Q33*S$68,0)</f>
        <v>#REF!</v>
      </c>
      <c r="C90" s="21" t="e">
        <f>Q33*S$68-B90</f>
        <v>#REF!</v>
      </c>
      <c r="D90" s="96" t="e">
        <f>RANK(C90,C$89:C$93)</f>
        <v>#REF!</v>
      </c>
      <c r="F90" s="10" t="e">
        <f>TRUNC(O50*S$70,0)</f>
        <v>#REF!</v>
      </c>
      <c r="G90" s="21" t="e">
        <f>O50*S$70-F90</f>
        <v>#REF!</v>
      </c>
      <c r="H90" s="96" t="e">
        <f>RANK(G90,G$89:G$93)</f>
        <v>#REF!</v>
      </c>
    </row>
    <row r="91" spans="2:34" ht="14.25" hidden="1" thickBot="1" x14ac:dyDescent="0.2">
      <c r="B91" s="10" t="e">
        <f>TRUNC(Q34*S$68,0)</f>
        <v>#REF!</v>
      </c>
      <c r="C91" s="21" t="e">
        <f>Q34*S$68-B91</f>
        <v>#REF!</v>
      </c>
      <c r="D91" s="96" t="e">
        <f>RANK(C91,C$89:C$93)</f>
        <v>#REF!</v>
      </c>
      <c r="F91" s="10" t="e">
        <f>TRUNC(O51*S$70,0)</f>
        <v>#REF!</v>
      </c>
      <c r="G91" s="21" t="e">
        <f>O51*S$70-F91</f>
        <v>#REF!</v>
      </c>
      <c r="H91" s="96" t="e">
        <f>RANK(G91,G$89:G$93)</f>
        <v>#REF!</v>
      </c>
      <c r="N91" t="s">
        <v>159</v>
      </c>
    </row>
    <row r="92" spans="2:34" hidden="1" x14ac:dyDescent="0.15">
      <c r="B92" s="10" t="e">
        <f>TRUNC(Q35*S$68,0)</f>
        <v>#REF!</v>
      </c>
      <c r="C92" s="21" t="e">
        <f>Q35*S$68-B92</f>
        <v>#REF!</v>
      </c>
      <c r="D92" s="96" t="e">
        <f>RANK(C92,C$89:C$93)</f>
        <v>#REF!</v>
      </c>
      <c r="F92" s="10" t="e">
        <f>TRUNC(O52*S$70,0)</f>
        <v>#REF!</v>
      </c>
      <c r="G92" s="21" t="e">
        <f>O52*S$70-F92</f>
        <v>#REF!</v>
      </c>
      <c r="H92" s="96" t="e">
        <f>RANK(G92,G$89:G$93)</f>
        <v>#REF!</v>
      </c>
      <c r="N92" s="57"/>
      <c r="O92" s="47" t="s">
        <v>136</v>
      </c>
      <c r="P92" s="47" t="s">
        <v>136</v>
      </c>
      <c r="Q92" s="47" t="s">
        <v>137</v>
      </c>
      <c r="R92" s="47" t="s">
        <v>161</v>
      </c>
      <c r="S92" s="47" t="s">
        <v>162</v>
      </c>
      <c r="T92" s="47" t="s">
        <v>163</v>
      </c>
      <c r="U92" s="47" t="s">
        <v>164</v>
      </c>
      <c r="V92" s="58" t="s">
        <v>137</v>
      </c>
    </row>
    <row r="93" spans="2:34" hidden="1" x14ac:dyDescent="0.15">
      <c r="B93" s="43" t="e">
        <f>TRUNC(Q36*S$68,0)</f>
        <v>#REF!</v>
      </c>
      <c r="C93" s="97" t="e">
        <f>Q36*S$68-B93</f>
        <v>#REF!</v>
      </c>
      <c r="D93" s="98" t="e">
        <f>RANK(C93,C$89:C$93)</f>
        <v>#REF!</v>
      </c>
      <c r="F93" s="43" t="e">
        <f>TRUNC(O53*S$70,0)</f>
        <v>#REF!</v>
      </c>
      <c r="G93" s="97" t="e">
        <f>O53*S$70-F93</f>
        <v>#REF!</v>
      </c>
      <c r="H93" s="98" t="e">
        <f>RANK(G93,G$89:G$93)</f>
        <v>#REF!</v>
      </c>
      <c r="N93" s="24" t="s">
        <v>97</v>
      </c>
      <c r="O93" s="6" t="s">
        <v>165</v>
      </c>
      <c r="P93" s="6" t="s">
        <v>166</v>
      </c>
      <c r="Q93" s="6" t="s">
        <v>165</v>
      </c>
      <c r="R93" s="6" t="s">
        <v>167</v>
      </c>
      <c r="S93" s="6" t="s">
        <v>168</v>
      </c>
      <c r="T93" s="6" t="s">
        <v>277</v>
      </c>
      <c r="U93" s="6" t="s">
        <v>170</v>
      </c>
      <c r="V93" s="59" t="s">
        <v>171</v>
      </c>
      <c r="AB93" s="34" t="s">
        <v>292</v>
      </c>
      <c r="AC93" s="34"/>
    </row>
    <row r="94" spans="2:34" ht="14.25" hidden="1" thickBot="1" x14ac:dyDescent="0.2">
      <c r="B94" s="10" t="e">
        <f>SUM(B89:B93)</f>
        <v>#REF!</v>
      </c>
      <c r="C94" s="21"/>
      <c r="D94" s="96"/>
      <c r="F94" s="10" t="e">
        <f>SUM(F89:F93)</f>
        <v>#REF!</v>
      </c>
      <c r="G94" s="21"/>
      <c r="H94" s="96"/>
      <c r="N94" s="60"/>
      <c r="O94" s="39" t="s">
        <v>172</v>
      </c>
      <c r="P94" s="39" t="s">
        <v>276</v>
      </c>
      <c r="Q94" s="39" t="s">
        <v>173</v>
      </c>
      <c r="R94" s="39" t="s">
        <v>284</v>
      </c>
      <c r="S94" s="39"/>
      <c r="T94" s="39"/>
      <c r="U94" s="39"/>
      <c r="V94" s="61" t="s">
        <v>174</v>
      </c>
      <c r="AB94" s="1" t="s">
        <v>289</v>
      </c>
      <c r="AC94" s="1" t="s">
        <v>291</v>
      </c>
      <c r="AD94" s="1" t="s">
        <v>288</v>
      </c>
      <c r="AF94" t="s">
        <v>294</v>
      </c>
    </row>
    <row r="95" spans="2:34" ht="15" hidden="1" customHeight="1" thickTop="1" x14ac:dyDescent="0.15">
      <c r="B95" s="9" t="e">
        <f>R43-B94</f>
        <v>#REF!</v>
      </c>
      <c r="C95" s="3" t="e">
        <f>ABS(B95)</f>
        <v>#REF!</v>
      </c>
      <c r="D95" s="80" t="e">
        <f>IF(R43=B94,0,B95/C95)</f>
        <v>#REF!</v>
      </c>
      <c r="F95" s="9" t="e">
        <f>P60-F94</f>
        <v>#REF!</v>
      </c>
      <c r="G95" s="3" t="e">
        <f>ABS(F95)</f>
        <v>#REF!</v>
      </c>
      <c r="H95" s="80" t="e">
        <f>IF(P60=F94,0,F95/G95)</f>
        <v>#REF!</v>
      </c>
      <c r="N95" s="62">
        <v>1</v>
      </c>
      <c r="O95" s="41">
        <f>IF(SUM(Q78:T78)=0,0,SUM(Q78:T78))</f>
        <v>0</v>
      </c>
      <c r="P95" s="41">
        <f>IF(O95=0,0,IF(AND(B$85&lt;&gt;0,D78&lt;=C$85),B78+D$85,B78))</f>
        <v>0</v>
      </c>
      <c r="Q95" s="41">
        <f>O95</f>
        <v>0</v>
      </c>
      <c r="R95" s="41">
        <f>IF(Q95=0,0,IF(AND(F$85&lt;&gt;0,H78&lt;=G$85),F78+H$85,F78))</f>
        <v>0</v>
      </c>
      <c r="S95" s="307"/>
      <c r="T95" s="308"/>
      <c r="U95" s="308"/>
      <c r="V95" s="63">
        <f>SUM(R78:S78,P95,R95,U95)</f>
        <v>0</v>
      </c>
      <c r="AB95">
        <f>IF(AND(AG$100&lt;&gt;0,AH95&lt;=AG$101),AF95+AH$101,AF95)</f>
        <v>0</v>
      </c>
      <c r="AD95">
        <f>SUM(AB95:AC95,AC78)</f>
        <v>0</v>
      </c>
      <c r="AF95">
        <f>TRUNC(AD78*AE$131)</f>
        <v>0</v>
      </c>
      <c r="AG95">
        <f>AD78*AE$131-AF95</f>
        <v>0</v>
      </c>
      <c r="AH95">
        <f>RANK(AG95,AG95:AG99)</f>
        <v>1</v>
      </c>
    </row>
    <row r="96" spans="2:34" ht="15" hidden="1" customHeight="1" x14ac:dyDescent="0.15">
      <c r="N96" s="62">
        <v>2</v>
      </c>
      <c r="O96" s="344">
        <f>IF(SUM(Q79:T79)=0,0,SUM(Q79:T79))</f>
        <v>0</v>
      </c>
      <c r="P96" s="344">
        <f>IF(O96=0,0,IF(AND(B$85&lt;&gt;0,D79&lt;=C$85),B79+D$85,B79))</f>
        <v>0</v>
      </c>
      <c r="Q96" s="344">
        <f>O96</f>
        <v>0</v>
      </c>
      <c r="R96" s="344">
        <f>IF(Q96=0,0,IF(AND(F$85&lt;&gt;0,H79&lt;=G$85),F79+H$85,F79))</f>
        <v>0</v>
      </c>
      <c r="S96" s="350">
        <v>0</v>
      </c>
      <c r="T96" s="351">
        <v>0</v>
      </c>
      <c r="U96" s="351">
        <f>IF(S96+T96=0,0,S96+T96)</f>
        <v>0</v>
      </c>
      <c r="V96" s="345">
        <f>SUM(R79:S79,P96,R96,U96)</f>
        <v>0</v>
      </c>
      <c r="AB96">
        <f>IF(AND(AG$100&lt;&gt;0,AH96&lt;=AG$101),AF96+AH$101,AF96)</f>
        <v>0</v>
      </c>
      <c r="AC96" s="114"/>
      <c r="AD96">
        <f>SUM(AB96:AC96,AC79)</f>
        <v>0</v>
      </c>
      <c r="AF96">
        <f>TRUNC(AD79*AE$131)</f>
        <v>0</v>
      </c>
      <c r="AG96">
        <f>AD79*AE$131-AF96</f>
        <v>0</v>
      </c>
      <c r="AH96">
        <f>RANK(AG96,AG95:AG99)</f>
        <v>1</v>
      </c>
    </row>
    <row r="97" spans="2:34" ht="15" hidden="1" customHeight="1" x14ac:dyDescent="0.15">
      <c r="N97" s="62">
        <v>3</v>
      </c>
      <c r="O97" s="344">
        <f>IF(SUM(Q80:T80)=0,0,SUM(Q80:T80))</f>
        <v>0</v>
      </c>
      <c r="P97" s="344">
        <f>IF(O97=0,0,IF(AND(B$85&lt;&gt;0,D80&lt;=C$85),B80+D$85,B80))</f>
        <v>0</v>
      </c>
      <c r="Q97" s="344">
        <f>O97</f>
        <v>0</v>
      </c>
      <c r="R97" s="344">
        <f>IF(Q97=0,0,IF(AND(F$85&lt;&gt;0,H80&lt;=G$85),F80+H$85,F80))</f>
        <v>0</v>
      </c>
      <c r="S97" s="350">
        <f>運搬!D6/1000</f>
        <v>0</v>
      </c>
      <c r="T97" s="351">
        <v>0</v>
      </c>
      <c r="U97" s="351">
        <f>IF(S97+T97=0,0,S97+T97)</f>
        <v>0</v>
      </c>
      <c r="V97" s="345">
        <f>SUM(R80:S80,P97,R97,U97)</f>
        <v>0</v>
      </c>
      <c r="AB97">
        <f>IF(AND(AG$100&lt;&gt;0,AH97&lt;=AG$101),AF97+AH$101,AF97)</f>
        <v>0</v>
      </c>
      <c r="AD97">
        <f>SUM(AB97:AC97,AC80)</f>
        <v>0</v>
      </c>
      <c r="AF97">
        <f>TRUNC(AD80*AE$131)</f>
        <v>0</v>
      </c>
      <c r="AG97">
        <f>AD80*AE$131-AF97</f>
        <v>0</v>
      </c>
      <c r="AH97">
        <f>RANK(AG97,AG95:AG99)</f>
        <v>1</v>
      </c>
    </row>
    <row r="98" spans="2:34" ht="15" hidden="1" customHeight="1" x14ac:dyDescent="0.15">
      <c r="B98" t="s">
        <v>135</v>
      </c>
      <c r="N98" s="62">
        <v>4</v>
      </c>
      <c r="O98" s="344">
        <f>IF(SUM(Q81:T81)=0,0,SUM(Q81:T81))</f>
        <v>0</v>
      </c>
      <c r="P98" s="344">
        <f>IF(O98=0,0,IF(AND(B$85&lt;&gt;0,D81&lt;=C$85),B81+D$85,B81))</f>
        <v>0</v>
      </c>
      <c r="Q98" s="344">
        <f>O98</f>
        <v>0</v>
      </c>
      <c r="R98" s="344">
        <f>IF(Q98=0,0,IF(AND(F$85&lt;&gt;0,H81&lt;=G$85),F81+H$85,F81))</f>
        <v>0</v>
      </c>
      <c r="S98" s="350">
        <f>運搬!D7/1000</f>
        <v>0</v>
      </c>
      <c r="T98" s="351">
        <v>0</v>
      </c>
      <c r="U98" s="351">
        <f>IF(S98+T98=0,0,S98+T98)</f>
        <v>0</v>
      </c>
      <c r="V98" s="345">
        <f>SUM(R81:S81,P98,R98,U98)</f>
        <v>0</v>
      </c>
      <c r="AB98">
        <f>IF(AND(AG$100&lt;&gt;0,AH98&lt;=AG$101),AF98+AH$101,AF98)</f>
        <v>0</v>
      </c>
      <c r="AD98">
        <f>SUM(AB98:AC98,AC81)</f>
        <v>0</v>
      </c>
      <c r="AF98">
        <f>TRUNC(AD81*AE$131)</f>
        <v>0</v>
      </c>
      <c r="AG98">
        <f>AD81*AE$131-AF98</f>
        <v>0</v>
      </c>
      <c r="AH98">
        <f>RANK(AG98,AG95:AG99)</f>
        <v>1</v>
      </c>
    </row>
    <row r="99" spans="2:34" ht="15" hidden="1" customHeight="1" x14ac:dyDescent="0.15">
      <c r="B99" t="s">
        <v>139</v>
      </c>
      <c r="N99" s="260">
        <v>5</v>
      </c>
      <c r="O99" s="261">
        <f>IF(SUM(Q82:T82)=0,0,SUM(Q82:T82))</f>
        <v>0</v>
      </c>
      <c r="P99" s="261">
        <f>IF(O99=0,0,IF(AND(B$85&lt;&gt;0,D82&lt;=C$85),B82+D$85,B82))</f>
        <v>0</v>
      </c>
      <c r="Q99" s="261">
        <f>O99</f>
        <v>0</v>
      </c>
      <c r="R99" s="261">
        <f>IF(Q99=0,0,IF(AND(F$85&lt;&gt;0,H82&lt;=G$85),F82+H$85,F82))</f>
        <v>0</v>
      </c>
      <c r="S99" s="335"/>
      <c r="T99" s="336"/>
      <c r="U99" s="336"/>
      <c r="V99" s="262">
        <f>SUM(R82:S82,P99,R99,U99)</f>
        <v>0</v>
      </c>
      <c r="AB99">
        <f>IF(AND(AG$100&lt;&gt;0,AH99&lt;=AG$101),AF99+AH$101,AF99)</f>
        <v>0</v>
      </c>
      <c r="AD99">
        <f>SUM(AB99:AC99,AC82)</f>
        <v>0</v>
      </c>
      <c r="AF99">
        <f>TRUNC(AD82*AE$131)</f>
        <v>0</v>
      </c>
      <c r="AG99">
        <f>AD82*AE$131-AF99</f>
        <v>0</v>
      </c>
      <c r="AH99">
        <f>RANK(AG99,AG95:AG99)</f>
        <v>1</v>
      </c>
    </row>
    <row r="100" spans="2:34" ht="15" hidden="1" customHeight="1" x14ac:dyDescent="0.15">
      <c r="B100" s="5" t="e">
        <f t="shared" ref="B100:B109" si="19">TRUNC(R44*S$72,0)</f>
        <v>#REF!</v>
      </c>
      <c r="C100" s="2" t="e">
        <f t="shared" ref="C100:C109" si="20">R44*S$72-B100</f>
        <v>#REF!</v>
      </c>
      <c r="D100" s="95" t="e">
        <f t="shared" ref="D100:D109" si="21">RANK(C100,C$100:C$109)</f>
        <v>#REF!</v>
      </c>
      <c r="N100" s="62">
        <v>6</v>
      </c>
      <c r="O100" s="41"/>
      <c r="P100" s="41"/>
      <c r="Q100" s="41"/>
      <c r="R100" s="41"/>
      <c r="S100" s="41"/>
      <c r="T100" s="41"/>
      <c r="U100" s="41"/>
      <c r="V100" s="63"/>
      <c r="AF100" s="100" t="s">
        <v>290</v>
      </c>
      <c r="AG100" s="238">
        <f>AB106-SUM(AF95:AF99)</f>
        <v>0</v>
      </c>
    </row>
    <row r="101" spans="2:34" ht="15" hidden="1" customHeight="1" x14ac:dyDescent="0.15">
      <c r="B101" s="10" t="e">
        <f t="shared" si="19"/>
        <v>#REF!</v>
      </c>
      <c r="C101" s="21" t="e">
        <f t="shared" si="20"/>
        <v>#REF!</v>
      </c>
      <c r="D101" s="96" t="e">
        <f t="shared" si="21"/>
        <v>#REF!</v>
      </c>
      <c r="N101" s="62">
        <v>7</v>
      </c>
      <c r="O101" s="41"/>
      <c r="P101" s="41"/>
      <c r="Q101" s="41"/>
      <c r="R101" s="41"/>
      <c r="S101" s="41"/>
      <c r="T101" s="41"/>
      <c r="U101" s="41"/>
      <c r="V101" s="63"/>
      <c r="AG101" s="238">
        <f>ABS(AG100)</f>
        <v>0</v>
      </c>
      <c r="AH101" s="238">
        <f>IF(AG100=0,0,AG100/AG101)</f>
        <v>0</v>
      </c>
    </row>
    <row r="102" spans="2:34" ht="15" hidden="1" customHeight="1" x14ac:dyDescent="0.15">
      <c r="B102" s="10" t="e">
        <f t="shared" si="19"/>
        <v>#REF!</v>
      </c>
      <c r="C102" s="21" t="e">
        <f t="shared" si="20"/>
        <v>#REF!</v>
      </c>
      <c r="D102" s="96" t="e">
        <f t="shared" si="21"/>
        <v>#REF!</v>
      </c>
      <c r="N102" s="62">
        <v>8</v>
      </c>
      <c r="O102" s="41"/>
      <c r="P102" s="41"/>
      <c r="Q102" s="41"/>
      <c r="R102" s="41"/>
      <c r="S102" s="41"/>
      <c r="T102" s="41"/>
      <c r="U102" s="41"/>
      <c r="V102" s="63"/>
    </row>
    <row r="103" spans="2:34" ht="15" hidden="1" customHeight="1" x14ac:dyDescent="0.15">
      <c r="B103" s="10" t="e">
        <f t="shared" si="19"/>
        <v>#REF!</v>
      </c>
      <c r="C103" s="21" t="e">
        <f t="shared" si="20"/>
        <v>#REF!</v>
      </c>
      <c r="D103" s="96" t="e">
        <f t="shared" si="21"/>
        <v>#REF!</v>
      </c>
      <c r="N103" s="62">
        <v>9</v>
      </c>
      <c r="O103" s="41"/>
      <c r="P103" s="41"/>
      <c r="Q103" s="41"/>
      <c r="R103" s="41"/>
      <c r="S103" s="41"/>
      <c r="T103" s="41"/>
      <c r="U103" s="41"/>
      <c r="V103" s="63"/>
    </row>
    <row r="104" spans="2:34" ht="15" hidden="1" customHeight="1" thickBot="1" x14ac:dyDescent="0.2">
      <c r="B104" s="10" t="e">
        <f t="shared" si="19"/>
        <v>#REF!</v>
      </c>
      <c r="C104" s="21" t="e">
        <f t="shared" si="20"/>
        <v>#REF!</v>
      </c>
      <c r="D104" s="96" t="e">
        <f t="shared" si="21"/>
        <v>#REF!</v>
      </c>
      <c r="N104" s="66">
        <v>10</v>
      </c>
      <c r="O104" s="44"/>
      <c r="P104" s="44"/>
      <c r="Q104" s="44"/>
      <c r="R104" s="44"/>
      <c r="S104" s="44"/>
      <c r="T104" s="44"/>
      <c r="U104" s="44"/>
      <c r="V104" s="67"/>
    </row>
    <row r="105" spans="2:34" ht="15" hidden="1" customHeight="1" thickTop="1" x14ac:dyDescent="0.15">
      <c r="B105" s="10" t="e">
        <f t="shared" si="19"/>
        <v>#REF!</v>
      </c>
      <c r="C105" s="21" t="e">
        <f t="shared" si="20"/>
        <v>#REF!</v>
      </c>
      <c r="D105" s="96" t="e">
        <f t="shared" si="21"/>
        <v>#REF!</v>
      </c>
      <c r="N105" s="23"/>
      <c r="O105" s="195"/>
      <c r="P105" s="195"/>
      <c r="Q105" s="195"/>
      <c r="R105" s="195"/>
      <c r="S105" s="195"/>
      <c r="T105" s="195"/>
      <c r="U105" s="202"/>
      <c r="V105" s="201"/>
    </row>
    <row r="106" spans="2:34" ht="15" hidden="1" customHeight="1" thickBot="1" x14ac:dyDescent="0.2">
      <c r="B106" s="10" t="e">
        <f t="shared" si="19"/>
        <v>#REF!</v>
      </c>
      <c r="C106" s="21" t="e">
        <f t="shared" si="20"/>
        <v>#REF!</v>
      </c>
      <c r="D106" s="96" t="e">
        <f t="shared" si="21"/>
        <v>#REF!</v>
      </c>
      <c r="N106" s="68" t="s">
        <v>102</v>
      </c>
      <c r="O106" s="348">
        <f>IF(SUM(O95:O104)=0,0,SUM(O95:O104))</f>
        <v>0</v>
      </c>
      <c r="P106" s="348">
        <f>TRUNC(O106*S129/100)</f>
        <v>0</v>
      </c>
      <c r="Q106" s="348">
        <f>IF(O106+P106=0,0,O106+P106)</f>
        <v>0</v>
      </c>
      <c r="R106" s="348">
        <f>TRUNC(Q106*S131)</f>
        <v>0</v>
      </c>
      <c r="S106" s="352">
        <f>IF(SUM(S95:S104)=0,0,SUM(S95:S104))</f>
        <v>0</v>
      </c>
      <c r="T106" s="352">
        <f>IF(SUM(T95:T104)=0,0,SUM(T95:T104))</f>
        <v>0</v>
      </c>
      <c r="U106" s="352">
        <f>IF(S106+T106=0,0,S106+T106)</f>
        <v>0</v>
      </c>
      <c r="V106" s="349">
        <f>SUM(R89:S89,P106,R106,U106)</f>
        <v>0</v>
      </c>
      <c r="AB106">
        <f>TRUNC(AD89*AE131)</f>
        <v>0</v>
      </c>
      <c r="AC106" s="234">
        <f>SUM(AC96:AC99)</f>
        <v>0</v>
      </c>
      <c r="AD106" s="234">
        <f>SUM(AD96:AD99)</f>
        <v>0</v>
      </c>
    </row>
    <row r="107" spans="2:34" hidden="1" x14ac:dyDescent="0.15">
      <c r="B107" s="10" t="e">
        <f t="shared" si="19"/>
        <v>#REF!</v>
      </c>
      <c r="C107" s="21" t="e">
        <f t="shared" si="20"/>
        <v>#REF!</v>
      </c>
      <c r="D107" s="96" t="e">
        <f t="shared" si="21"/>
        <v>#REF!</v>
      </c>
    </row>
    <row r="108" spans="2:34" ht="14.25" hidden="1" thickBot="1" x14ac:dyDescent="0.2">
      <c r="B108" s="10" t="e">
        <f t="shared" si="19"/>
        <v>#REF!</v>
      </c>
      <c r="C108" s="21" t="e">
        <f t="shared" si="20"/>
        <v>#REF!</v>
      </c>
      <c r="D108" s="96" t="e">
        <f t="shared" si="21"/>
        <v>#REF!</v>
      </c>
      <c r="N108" t="s">
        <v>180</v>
      </c>
    </row>
    <row r="109" spans="2:34" hidden="1" x14ac:dyDescent="0.15">
      <c r="B109" s="43" t="e">
        <f t="shared" si="19"/>
        <v>#REF!</v>
      </c>
      <c r="C109" s="97" t="e">
        <f t="shared" si="20"/>
        <v>#REF!</v>
      </c>
      <c r="D109" s="98" t="e">
        <f t="shared" si="21"/>
        <v>#REF!</v>
      </c>
      <c r="N109" s="57"/>
      <c r="O109" s="47" t="s">
        <v>181</v>
      </c>
      <c r="P109" s="47" t="s">
        <v>138</v>
      </c>
      <c r="Q109" s="47" t="s">
        <v>182</v>
      </c>
      <c r="R109" s="47" t="s">
        <v>183</v>
      </c>
      <c r="S109" s="47" t="s">
        <v>139</v>
      </c>
      <c r="T109" s="47" t="s">
        <v>184</v>
      </c>
      <c r="U109" s="47" t="s">
        <v>185</v>
      </c>
      <c r="V109" s="58" t="s">
        <v>186</v>
      </c>
    </row>
    <row r="110" spans="2:34" hidden="1" x14ac:dyDescent="0.15">
      <c r="B110" s="10" t="e">
        <f>SUM(B100:B109)</f>
        <v>#REF!</v>
      </c>
      <c r="C110" s="21"/>
      <c r="D110" s="96"/>
      <c r="N110" s="24" t="s">
        <v>97</v>
      </c>
      <c r="O110" s="6" t="s">
        <v>187</v>
      </c>
      <c r="P110" s="6" t="s">
        <v>188</v>
      </c>
      <c r="Q110" s="6" t="s">
        <v>189</v>
      </c>
      <c r="R110" s="6" t="s">
        <v>190</v>
      </c>
      <c r="S110" s="6" t="s">
        <v>191</v>
      </c>
      <c r="T110" s="6" t="s">
        <v>192</v>
      </c>
      <c r="U110" s="6" t="s">
        <v>193</v>
      </c>
      <c r="V110" s="69" t="s">
        <v>194</v>
      </c>
    </row>
    <row r="111" spans="2:34" ht="14.25" hidden="1" thickBot="1" x14ac:dyDescent="0.2">
      <c r="B111" s="401" t="e">
        <f>S60-B110</f>
        <v>#REF!</v>
      </c>
      <c r="C111" s="3" t="e">
        <f>ABS(B111)</f>
        <v>#REF!</v>
      </c>
      <c r="D111" s="80" t="e">
        <f>IF(S60=B110,0,B111/C111)</f>
        <v>#REF!</v>
      </c>
      <c r="N111" s="60"/>
      <c r="O111" s="39" t="s">
        <v>283</v>
      </c>
      <c r="P111" s="39" t="s">
        <v>282</v>
      </c>
      <c r="Q111" s="39"/>
      <c r="R111" s="39" t="s">
        <v>195</v>
      </c>
      <c r="S111" s="39" t="s">
        <v>281</v>
      </c>
      <c r="T111" s="39" t="s">
        <v>280</v>
      </c>
      <c r="U111" s="39" t="s">
        <v>278</v>
      </c>
      <c r="V111" s="70" t="s">
        <v>279</v>
      </c>
      <c r="AB111" t="s">
        <v>138</v>
      </c>
      <c r="AC111" t="s">
        <v>182</v>
      </c>
      <c r="AF111" t="s">
        <v>293</v>
      </c>
    </row>
    <row r="112" spans="2:34" ht="15" hidden="1" customHeight="1" thickTop="1" x14ac:dyDescent="0.15">
      <c r="N112" s="72">
        <v>1</v>
      </c>
      <c r="O112" s="74">
        <f>IF(Q78+V95=0,0,Q78+V95)</f>
        <v>0</v>
      </c>
      <c r="P112" s="74">
        <f>IF(O112=0,0,IF(AND(J$85&lt;&gt;0,L78&lt;=K$85),J78+L$85,J78))</f>
        <v>0</v>
      </c>
      <c r="Q112" s="74"/>
      <c r="R112" s="263">
        <f>IF(O112=0,0,+O112+P112+Q112)</f>
        <v>0</v>
      </c>
      <c r="S112" s="263">
        <f t="shared" ref="S112:S121" si="22">SUM(X49:Y49)</f>
        <v>0</v>
      </c>
      <c r="T112" s="263">
        <f t="shared" ref="T112:T121" si="23">SUM(R112:S112)</f>
        <v>0</v>
      </c>
      <c r="U112" s="264">
        <f t="shared" ref="U112:U121" si="24">T112*0.05</f>
        <v>0</v>
      </c>
      <c r="V112" s="265">
        <f t="shared" ref="V112:V121" si="25">T112+U112</f>
        <v>0</v>
      </c>
      <c r="AB112">
        <f>IF(AND(AG$117&lt;&gt;0,AH112&lt;=AG$118),AF112+AH$118,AF112)</f>
        <v>0</v>
      </c>
      <c r="AF112">
        <f>TRUNC((AB78+AD95)*AE133)</f>
        <v>0</v>
      </c>
      <c r="AG112">
        <f>(AB78+AD95)*AE133-AF112</f>
        <v>0</v>
      </c>
      <c r="AH112">
        <f>RANK(AG112,$AG112:$AG116)</f>
        <v>1</v>
      </c>
    </row>
    <row r="113" spans="14:34" ht="15" hidden="1" customHeight="1" x14ac:dyDescent="0.15">
      <c r="N113" s="72">
        <v>2</v>
      </c>
      <c r="O113" s="353">
        <f>IF(Q79+V96=0,0,Q79+V96)</f>
        <v>0</v>
      </c>
      <c r="P113" s="353">
        <f>IF(O113=0,0,IF(AND(J$85&lt;&gt;0,L79&lt;=K$85),J79+L$85,J79))</f>
        <v>0</v>
      </c>
      <c r="Q113" s="353"/>
      <c r="R113" s="354">
        <f>IF(O113=0,0,+O113+P113+Q113)</f>
        <v>0</v>
      </c>
      <c r="S113" s="354">
        <f t="shared" si="22"/>
        <v>0</v>
      </c>
      <c r="T113" s="354">
        <f t="shared" si="23"/>
        <v>0</v>
      </c>
      <c r="U113" s="355">
        <f t="shared" si="24"/>
        <v>0</v>
      </c>
      <c r="V113" s="356">
        <f t="shared" si="25"/>
        <v>0</v>
      </c>
      <c r="AB113">
        <f>IF(AND(AG$117&lt;&gt;0,AH113&lt;=AG$118),AF113+AH$118,AF113)</f>
        <v>0</v>
      </c>
      <c r="AC113" s="114">
        <f>IF($AB$11=1,IF(#REF!=1,Q50,-#REF!/1000),0)</f>
        <v>0</v>
      </c>
      <c r="AF113">
        <f>TRUNC((AB79+AD96)*AE133)</f>
        <v>0</v>
      </c>
      <c r="AG113">
        <f>(AB79+AD96)*AE133-AF113</f>
        <v>0</v>
      </c>
      <c r="AH113">
        <f>RANK(AG113,$AG112:$AG116)</f>
        <v>1</v>
      </c>
    </row>
    <row r="114" spans="14:34" ht="15" hidden="1" customHeight="1" x14ac:dyDescent="0.15">
      <c r="N114" s="72">
        <v>3</v>
      </c>
      <c r="O114" s="353">
        <f>IF(Q80+V97=0,0,Q80+V97)</f>
        <v>0</v>
      </c>
      <c r="P114" s="353">
        <f>IF(O114=0,0,IF(AND(J$85&lt;&gt;0,L80&lt;=K$85),J80+L$85,J80))</f>
        <v>0</v>
      </c>
      <c r="Q114" s="353"/>
      <c r="R114" s="354">
        <f>IF(O114=0,0,+O114+P114+Q114)</f>
        <v>0</v>
      </c>
      <c r="S114" s="354">
        <f>SUM(X51:Y51)</f>
        <v>0</v>
      </c>
      <c r="T114" s="354">
        <f t="shared" si="23"/>
        <v>0</v>
      </c>
      <c r="U114" s="355">
        <f t="shared" si="24"/>
        <v>0</v>
      </c>
      <c r="V114" s="356">
        <f t="shared" si="25"/>
        <v>0</v>
      </c>
      <c r="AB114">
        <f>IF(AND(AG$117&lt;&gt;0,AH114&lt;=AG$118),AF114+AH$118,AF114)</f>
        <v>0</v>
      </c>
      <c r="AF114">
        <f>TRUNC((AB80+AD97)*AE133)</f>
        <v>0</v>
      </c>
      <c r="AG114">
        <f>(AB80+AD97)*AE133-AF114</f>
        <v>0</v>
      </c>
      <c r="AH114">
        <f>RANK(AG114,$AG112:$AG116)</f>
        <v>1</v>
      </c>
    </row>
    <row r="115" spans="14:34" ht="15" hidden="1" customHeight="1" x14ac:dyDescent="0.15">
      <c r="N115" s="72">
        <v>4</v>
      </c>
      <c r="O115" s="353">
        <f>IF(Q81+V98=0,0,Q81+V98)</f>
        <v>0</v>
      </c>
      <c r="P115" s="353">
        <f>IF(O115=0,0,IF(AND(J$85&lt;&gt;0,L81&lt;=K$85),J81+L$85,J81))</f>
        <v>0</v>
      </c>
      <c r="Q115" s="353"/>
      <c r="R115" s="354">
        <f>IF(O115=0,0,+O115+P115+Q115)</f>
        <v>0</v>
      </c>
      <c r="S115" s="354">
        <f t="shared" si="22"/>
        <v>0</v>
      </c>
      <c r="T115" s="354">
        <f t="shared" si="23"/>
        <v>0</v>
      </c>
      <c r="U115" s="355">
        <f t="shared" si="24"/>
        <v>0</v>
      </c>
      <c r="V115" s="356">
        <f t="shared" si="25"/>
        <v>0</v>
      </c>
      <c r="AB115">
        <f>IF(AND(AG$117&lt;&gt;0,AH115&lt;=AG$118),AF115+AH$118,AF115)</f>
        <v>0</v>
      </c>
      <c r="AF115">
        <f>TRUNC((AB81+AD98)*AE133)</f>
        <v>0</v>
      </c>
      <c r="AG115">
        <f>(AB81+AD98)*AE133-AF115</f>
        <v>0</v>
      </c>
      <c r="AH115">
        <f>RANK(AG115,$AG112:$AG116)</f>
        <v>1</v>
      </c>
    </row>
    <row r="116" spans="14:34" ht="15" hidden="1" customHeight="1" x14ac:dyDescent="0.15">
      <c r="N116" s="260">
        <v>5</v>
      </c>
      <c r="O116" s="337">
        <f>IF(Q82+V99=0,0,Q82+V99)</f>
        <v>0</v>
      </c>
      <c r="P116" s="337">
        <f>IF(O116=0,0,IF(AND(J$85&lt;&gt;0,L82&lt;=K$85),J82+L$85,J82))</f>
        <v>0</v>
      </c>
      <c r="Q116" s="337"/>
      <c r="R116" s="338">
        <f>IF(O116=0,0,+O116+P116+Q116)</f>
        <v>0</v>
      </c>
      <c r="S116" s="338">
        <f t="shared" si="22"/>
        <v>0</v>
      </c>
      <c r="T116" s="338">
        <f t="shared" si="23"/>
        <v>0</v>
      </c>
      <c r="U116" s="339">
        <f t="shared" si="24"/>
        <v>0</v>
      </c>
      <c r="V116" s="340">
        <f t="shared" si="25"/>
        <v>0</v>
      </c>
      <c r="AB116">
        <f>IF(AND(AG$117&lt;&gt;0,AH116&lt;=AG$118),AF116+AH$118,AF116)</f>
        <v>0</v>
      </c>
      <c r="AF116">
        <f>TRUNC((AB82+AD99)*AE133)</f>
        <v>0</v>
      </c>
      <c r="AG116">
        <f>(AB82+AD99)*AE133-AF116</f>
        <v>0</v>
      </c>
      <c r="AH116">
        <f>RANK(AG116,$AG112:$AG116)</f>
        <v>1</v>
      </c>
    </row>
    <row r="117" spans="14:34" ht="15" hidden="1" customHeight="1" x14ac:dyDescent="0.15">
      <c r="N117" s="62">
        <v>6</v>
      </c>
      <c r="O117" s="74"/>
      <c r="P117" s="74"/>
      <c r="Q117" s="74"/>
      <c r="R117" s="263">
        <f>R49</f>
        <v>0</v>
      </c>
      <c r="S117" s="263">
        <f t="shared" si="22"/>
        <v>0</v>
      </c>
      <c r="T117" s="263">
        <f t="shared" si="23"/>
        <v>0</v>
      </c>
      <c r="U117" s="264">
        <f t="shared" si="24"/>
        <v>0</v>
      </c>
      <c r="V117" s="265">
        <f t="shared" si="25"/>
        <v>0</v>
      </c>
      <c r="AF117" s="100" t="s">
        <v>290</v>
      </c>
      <c r="AG117" s="238">
        <f>AB123-SUM(AF112:AF116)</f>
        <v>0</v>
      </c>
    </row>
    <row r="118" spans="14:34" ht="15" hidden="1" customHeight="1" x14ac:dyDescent="0.15">
      <c r="N118" s="72">
        <v>7</v>
      </c>
      <c r="O118" s="74"/>
      <c r="P118" s="74"/>
      <c r="Q118" s="74"/>
      <c r="R118" s="263">
        <f>R50</f>
        <v>0</v>
      </c>
      <c r="S118" s="263">
        <f t="shared" si="22"/>
        <v>0</v>
      </c>
      <c r="T118" s="263">
        <f t="shared" si="23"/>
        <v>0</v>
      </c>
      <c r="U118" s="264">
        <f t="shared" si="24"/>
        <v>0</v>
      </c>
      <c r="V118" s="265">
        <f t="shared" si="25"/>
        <v>0</v>
      </c>
      <c r="AG118" s="238">
        <f>ABS(AG117)</f>
        <v>0</v>
      </c>
      <c r="AH118" s="238">
        <f>IF(AG117=0,0,AG117/AG118)</f>
        <v>0</v>
      </c>
    </row>
    <row r="119" spans="14:34" ht="15" hidden="1" customHeight="1" x14ac:dyDescent="0.15">
      <c r="N119" s="72">
        <v>8</v>
      </c>
      <c r="O119" s="74"/>
      <c r="P119" s="74"/>
      <c r="Q119" s="74"/>
      <c r="R119" s="263" t="e">
        <f>R51</f>
        <v>#REF!</v>
      </c>
      <c r="S119" s="263" t="e">
        <f>SUM(X56:Y56)</f>
        <v>#REF!</v>
      </c>
      <c r="T119" s="263" t="e">
        <f>SUM(R119:S119)</f>
        <v>#REF!</v>
      </c>
      <c r="U119" s="264" t="e">
        <f>T119*0.05</f>
        <v>#REF!</v>
      </c>
      <c r="V119" s="265" t="e">
        <f t="shared" si="25"/>
        <v>#REF!</v>
      </c>
    </row>
    <row r="120" spans="14:34" ht="15" hidden="1" customHeight="1" x14ac:dyDescent="0.15">
      <c r="N120" s="72">
        <v>9</v>
      </c>
      <c r="O120" s="74"/>
      <c r="P120" s="74"/>
      <c r="Q120" s="74"/>
      <c r="R120" s="263">
        <f>R52</f>
        <v>0</v>
      </c>
      <c r="S120" s="263">
        <f t="shared" si="22"/>
        <v>0</v>
      </c>
      <c r="T120" s="263">
        <f t="shared" si="23"/>
        <v>0</v>
      </c>
      <c r="U120" s="264">
        <f t="shared" si="24"/>
        <v>0</v>
      </c>
      <c r="V120" s="265">
        <f t="shared" si="25"/>
        <v>0</v>
      </c>
    </row>
    <row r="121" spans="14:34" ht="15" hidden="1" customHeight="1" thickBot="1" x14ac:dyDescent="0.2">
      <c r="N121" s="73">
        <v>10</v>
      </c>
      <c r="O121" s="75"/>
      <c r="P121" s="75"/>
      <c r="Q121" s="75"/>
      <c r="R121" s="266">
        <f>R53</f>
        <v>0</v>
      </c>
      <c r="S121" s="266">
        <f t="shared" si="22"/>
        <v>0</v>
      </c>
      <c r="T121" s="266">
        <f t="shared" si="23"/>
        <v>0</v>
      </c>
      <c r="U121" s="267">
        <f t="shared" si="24"/>
        <v>0</v>
      </c>
      <c r="V121" s="268">
        <f t="shared" si="25"/>
        <v>0</v>
      </c>
    </row>
    <row r="122" spans="14:34" ht="15" hidden="1" customHeight="1" thickTop="1" x14ac:dyDescent="0.15">
      <c r="N122" s="23"/>
      <c r="O122" s="195"/>
      <c r="P122" s="195"/>
      <c r="Q122" s="195"/>
      <c r="R122" s="195"/>
      <c r="S122" s="195"/>
      <c r="T122" s="195"/>
      <c r="U122" s="203"/>
      <c r="V122" s="204"/>
    </row>
    <row r="123" spans="14:34" ht="15" hidden="1" customHeight="1" thickBot="1" x14ac:dyDescent="0.2">
      <c r="N123" s="68" t="s">
        <v>102</v>
      </c>
      <c r="O123" s="357">
        <f>IF(+Q89+V106=0,0,+Q89+V106)</f>
        <v>0</v>
      </c>
      <c r="P123" s="357">
        <f>TRUNC(O123*S133)</f>
        <v>0</v>
      </c>
      <c r="Q123" s="76">
        <f>SUM(Q112:Q121)</f>
        <v>0</v>
      </c>
      <c r="R123" s="76">
        <f>IF(O123+P123+Q123=0,0,SUM(R112:R121))</f>
        <v>0</v>
      </c>
      <c r="S123" s="76" t="e">
        <f>TRUNC(R123*S135)</f>
        <v>#REF!</v>
      </c>
      <c r="T123" s="76" t="e">
        <f>SUM(T112:T121)</f>
        <v>#REF!</v>
      </c>
      <c r="U123" s="89" t="e">
        <f>SUM(U112:U121)</f>
        <v>#REF!</v>
      </c>
      <c r="V123" s="90" t="e">
        <f>SUM(V112:V121)</f>
        <v>#REF!</v>
      </c>
      <c r="AB123">
        <f>TRUNC(AB133*AE133)</f>
        <v>0</v>
      </c>
      <c r="AC123">
        <f>SUM(AC112:AC121)</f>
        <v>0</v>
      </c>
    </row>
    <row r="124" spans="14:34" hidden="1" x14ac:dyDescent="0.15"/>
    <row r="125" spans="14:34" ht="14.25" hidden="1" thickBot="1" x14ac:dyDescent="0.2">
      <c r="N125" t="s">
        <v>198</v>
      </c>
    </row>
    <row r="126" spans="14:34" hidden="1" x14ac:dyDescent="0.15">
      <c r="N126" s="759" t="s">
        <v>199</v>
      </c>
      <c r="O126" s="760"/>
      <c r="P126" s="47" t="s">
        <v>200</v>
      </c>
      <c r="Q126" s="763" t="s">
        <v>201</v>
      </c>
      <c r="R126" s="763" t="s">
        <v>202</v>
      </c>
      <c r="S126" s="763" t="s">
        <v>203</v>
      </c>
      <c r="T126" s="765" t="s">
        <v>204</v>
      </c>
      <c r="U126" s="766"/>
      <c r="V126" s="767"/>
    </row>
    <row r="127" spans="14:34" ht="14.25" hidden="1" thickBot="1" x14ac:dyDescent="0.2">
      <c r="N127" s="761"/>
      <c r="O127" s="762"/>
      <c r="P127" s="56" t="s">
        <v>206</v>
      </c>
      <c r="Q127" s="764"/>
      <c r="R127" s="764"/>
      <c r="S127" s="764"/>
      <c r="T127" s="768"/>
      <c r="U127" s="769"/>
      <c r="V127" s="770"/>
    </row>
    <row r="128" spans="14:34" ht="14.25" hidden="1" thickTop="1" x14ac:dyDescent="0.15">
      <c r="N128" s="24"/>
      <c r="O128" s="6"/>
      <c r="P128" s="359"/>
      <c r="Q128" s="232"/>
      <c r="R128" s="232"/>
      <c r="S128" s="361"/>
      <c r="T128" s="10"/>
      <c r="U128" s="21"/>
      <c r="V128" s="22"/>
    </row>
    <row r="129" spans="14:31" hidden="1" x14ac:dyDescent="0.15">
      <c r="N129" s="27" t="s">
        <v>146</v>
      </c>
      <c r="O129" s="8" t="s">
        <v>136</v>
      </c>
      <c r="P129" s="360">
        <f>O106</f>
        <v>0</v>
      </c>
      <c r="Q129" s="240">
        <f>VLOOKUP(B32,土木費率,6)</f>
        <v>0</v>
      </c>
      <c r="R129" s="240">
        <v>0</v>
      </c>
      <c r="S129" s="362">
        <f>Q129</f>
        <v>0</v>
      </c>
      <c r="T129" s="10" t="s">
        <v>255</v>
      </c>
      <c r="U129" s="21"/>
      <c r="V129" s="22"/>
    </row>
    <row r="130" spans="14:31" hidden="1" x14ac:dyDescent="0.15">
      <c r="N130" s="24"/>
      <c r="O130" s="6"/>
      <c r="P130" s="359"/>
      <c r="Q130" s="248"/>
      <c r="R130" s="248"/>
      <c r="S130" s="363"/>
      <c r="T130" s="771">
        <f>Q134</f>
        <v>0</v>
      </c>
      <c r="U130" s="772"/>
      <c r="V130" s="251"/>
    </row>
    <row r="131" spans="14:31" hidden="1" x14ac:dyDescent="0.15">
      <c r="N131" s="27" t="s">
        <v>210</v>
      </c>
      <c r="O131" s="8" t="s">
        <v>137</v>
      </c>
      <c r="P131" s="360">
        <f>Q106</f>
        <v>0</v>
      </c>
      <c r="Q131" s="241">
        <f>IF(AND(Q106&gt;10^4,Q106&lt;=2*10^6),ROUND(D21*(Q106*1000)^D22,2),IF(Q106&lt;=10^4,D19,D20))/100</f>
        <v>0</v>
      </c>
      <c r="R131" s="240">
        <f>VLOOKUP(R4,F25:K29,5)</f>
        <v>0</v>
      </c>
      <c r="S131" s="364">
        <f>SUM(Q131:R131)</f>
        <v>0</v>
      </c>
      <c r="T131" s="10"/>
      <c r="U131" s="79" t="e">
        <f>IF(R6=1,TEXT(Q135,"0.00% × ")&amp;TEXT(R5,"0.00")&amp;" ＝ ","")</f>
        <v>#VALUE!</v>
      </c>
      <c r="V131" s="249" t="e">
        <f>ROUND(Q135*R135,4)</f>
        <v>#REF!</v>
      </c>
      <c r="AB131">
        <f>AD89</f>
        <v>0</v>
      </c>
      <c r="AC131" s="236">
        <f>IF(AND(AB131&gt;10^4,AB131&lt;=2*10^6),ROUND(J21*(AB131*1000)^J22,2),IF(AB131&lt;=10^4,J19,J20))/100</f>
        <v>0.17120000000000002</v>
      </c>
      <c r="AD131" s="235">
        <f>R68</f>
        <v>0</v>
      </c>
      <c r="AE131" s="237">
        <f>SUM(AC131:AD131)</f>
        <v>0.17120000000000002</v>
      </c>
    </row>
    <row r="132" spans="14:31" hidden="1" x14ac:dyDescent="0.15">
      <c r="N132" s="24"/>
      <c r="O132" s="6"/>
      <c r="P132" s="359"/>
      <c r="Q132" s="248"/>
      <c r="R132" s="248"/>
      <c r="S132" s="363"/>
      <c r="T132" s="10"/>
      <c r="U132" s="21"/>
      <c r="V132" s="91"/>
      <c r="AC132" s="235"/>
      <c r="AD132" s="235"/>
      <c r="AE132" s="235"/>
    </row>
    <row r="133" spans="14:31" hidden="1" x14ac:dyDescent="0.15">
      <c r="N133" s="27" t="s">
        <v>211</v>
      </c>
      <c r="O133" s="8" t="s">
        <v>138</v>
      </c>
      <c r="P133" s="360">
        <f>O123</f>
        <v>0</v>
      </c>
      <c r="Q133" s="242">
        <f>IF(AND(P133&gt;10^4,P133&lt;=2*10^6),ROUND($E21*(P133*1000)^$E22,2),IF(P133&lt;=10^4,$E19,$E20))/100</f>
        <v>0</v>
      </c>
      <c r="R133" s="240">
        <f>VLOOKUP(R4,F25:K29,6)</f>
        <v>0</v>
      </c>
      <c r="S133" s="364">
        <f>SUM(Q133:R133)</f>
        <v>0</v>
      </c>
      <c r="T133" s="10" t="s">
        <v>256</v>
      </c>
      <c r="U133" s="21"/>
      <c r="V133" s="22"/>
      <c r="AB133">
        <f>AB89+AD106</f>
        <v>0</v>
      </c>
      <c r="AC133" s="237">
        <f>IF(AND(AB133&gt;10^4,AB133&lt;=2*10^6),ROUND(K21*(AB133*1000)^K22,2),IF(AB133&lt;=10^4,K19,K20))/100</f>
        <v>0.29649999999999999</v>
      </c>
      <c r="AD133" s="235">
        <f>R70</f>
        <v>0</v>
      </c>
      <c r="AE133" s="237">
        <f>SUM(AC133:AD133)</f>
        <v>0.29649999999999999</v>
      </c>
    </row>
    <row r="134" spans="14:31" hidden="1" x14ac:dyDescent="0.15">
      <c r="N134" s="24"/>
      <c r="O134" s="6"/>
      <c r="P134" s="359"/>
      <c r="Q134" s="248"/>
      <c r="R134" s="244"/>
      <c r="S134" s="363"/>
      <c r="T134" s="771"/>
      <c r="U134" s="772"/>
      <c r="V134" s="251">
        <f>S134</f>
        <v>0</v>
      </c>
    </row>
    <row r="135" spans="14:31" ht="14.25" hidden="1" thickBot="1" x14ac:dyDescent="0.2">
      <c r="N135" s="68" t="s">
        <v>212</v>
      </c>
      <c r="O135" s="29" t="s">
        <v>139</v>
      </c>
      <c r="P135" s="348">
        <f>R123</f>
        <v>0</v>
      </c>
      <c r="Q135" s="243" t="e">
        <f>IF(AND(P72&gt;5*10^3,P72&lt;=3*10^6),ROUND(($D$28*LOG(P72*1000)+$D$29),2),IF(P72&lt;=5*10^3,$D$26,$D$27))/100</f>
        <v>#REF!</v>
      </c>
      <c r="R135" s="245">
        <f>R5</f>
        <v>1</v>
      </c>
      <c r="S135" s="365" t="e">
        <f>V131+R6*0.04/100</f>
        <v>#REF!</v>
      </c>
      <c r="T135" s="30"/>
      <c r="U135" s="196" t="e">
        <f>IF(R$6=0,0,TEXT(V$131,"0.00%")&amp;" ＋ 0.04 ＝ ")</f>
        <v>#VALUE!</v>
      </c>
      <c r="V135" s="250" t="e">
        <f>IF(R$6=0,0,S$135)</f>
        <v>#REF!</v>
      </c>
    </row>
  </sheetData>
  <mergeCells count="20">
    <mergeCell ref="R12:R13"/>
    <mergeCell ref="T12:T13"/>
    <mergeCell ref="U12:U13"/>
    <mergeCell ref="Q63:Q64"/>
    <mergeCell ref="R63:R64"/>
    <mergeCell ref="S63:S64"/>
    <mergeCell ref="T130:U130"/>
    <mergeCell ref="T134:U134"/>
    <mergeCell ref="T63:V64"/>
    <mergeCell ref="N63:O64"/>
    <mergeCell ref="T67:U67"/>
    <mergeCell ref="T71:U71"/>
    <mergeCell ref="N126:O127"/>
    <mergeCell ref="T126:V127"/>
    <mergeCell ref="R126:R127"/>
    <mergeCell ref="R75:R76"/>
    <mergeCell ref="T75:T76"/>
    <mergeCell ref="U75:U76"/>
    <mergeCell ref="Q126:Q127"/>
    <mergeCell ref="S126:S127"/>
  </mergeCells>
  <phoneticPr fontId="12"/>
  <pageMargins left="0.70866141732283472" right="0.19685039370078741" top="0.78740157480314965" bottom="0.39370078740157483" header="0" footer="0"/>
  <pageSetup paperSize="9" scale="90"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indexed="34"/>
  </sheetPr>
  <dimension ref="A1:V70"/>
  <sheetViews>
    <sheetView view="pageBreakPreview" zoomScaleNormal="90" zoomScaleSheetLayoutView="100" workbookViewId="0">
      <selection activeCell="B1" sqref="B1"/>
    </sheetView>
  </sheetViews>
  <sheetFormatPr defaultRowHeight="13.5" x14ac:dyDescent="0.15"/>
  <cols>
    <col min="1" max="1" width="4.625" customWidth="1"/>
    <col min="2" max="2" width="3.625" customWidth="1"/>
    <col min="3" max="3" width="20.625" style="1" customWidth="1"/>
    <col min="4" max="4" width="22.625" style="1" customWidth="1"/>
    <col min="5" max="5" width="11.625" customWidth="1"/>
    <col min="6" max="6" width="4.625" style="1" customWidth="1"/>
    <col min="7" max="7" width="10.625" customWidth="1"/>
    <col min="8" max="8" width="15.625" customWidth="1"/>
    <col min="9" max="9" width="8.625" customWidth="1"/>
    <col min="10" max="10" width="19.625" customWidth="1"/>
  </cols>
  <sheetData>
    <row r="1" spans="1:22" ht="14.25" thickBot="1" x14ac:dyDescent="0.2"/>
    <row r="2" spans="1:22" x14ac:dyDescent="0.15">
      <c r="B2" s="16"/>
      <c r="C2" s="17"/>
      <c r="D2" s="17"/>
      <c r="E2" s="18"/>
      <c r="F2" s="17"/>
      <c r="G2" s="18"/>
      <c r="H2" s="18"/>
      <c r="I2" s="18"/>
      <c r="J2" s="19"/>
    </row>
    <row r="3" spans="1:22" ht="21" x14ac:dyDescent="0.2">
      <c r="A3" s="284"/>
      <c r="B3" s="457" t="s">
        <v>334</v>
      </c>
      <c r="C3" s="25"/>
      <c r="D3" s="25"/>
      <c r="E3" s="25"/>
      <c r="F3" s="25"/>
      <c r="G3" s="25"/>
      <c r="H3" s="25"/>
      <c r="I3" s="25"/>
      <c r="J3" s="26"/>
    </row>
    <row r="4" spans="1:22" ht="18.75" customHeight="1" x14ac:dyDescent="0.2">
      <c r="A4" s="285"/>
      <c r="B4" s="283"/>
      <c r="C4" s="20"/>
      <c r="D4" s="461"/>
      <c r="E4" s="21"/>
      <c r="F4" s="20"/>
      <c r="G4" s="21"/>
      <c r="H4" s="21"/>
      <c r="I4" s="21"/>
      <c r="J4" s="104"/>
    </row>
    <row r="5" spans="1:22" ht="18.75" x14ac:dyDescent="0.2">
      <c r="A5" s="285"/>
      <c r="B5" s="283"/>
      <c r="C5" s="20"/>
      <c r="D5" s="459">
        <f>H22</f>
        <v>8000</v>
      </c>
      <c r="E5" s="21"/>
      <c r="F5" s="20"/>
      <c r="G5" s="21"/>
      <c r="H5" s="21"/>
      <c r="I5" s="21"/>
      <c r="J5" s="22"/>
    </row>
    <row r="6" spans="1:22" ht="13.5" customHeight="1" x14ac:dyDescent="0.15">
      <c r="B6" s="751" t="s">
        <v>258</v>
      </c>
      <c r="C6" s="4"/>
      <c r="D6" s="4"/>
      <c r="E6" s="5"/>
      <c r="F6" s="4"/>
      <c r="G6" s="14" t="s">
        <v>88</v>
      </c>
      <c r="H6" s="15"/>
      <c r="I6" s="774" t="s">
        <v>257</v>
      </c>
      <c r="J6" s="105"/>
    </row>
    <row r="7" spans="1:22" x14ac:dyDescent="0.15">
      <c r="B7" s="752"/>
      <c r="C7" s="6" t="s">
        <v>89</v>
      </c>
      <c r="D7" s="6" t="s">
        <v>90</v>
      </c>
      <c r="E7" s="7" t="s">
        <v>322</v>
      </c>
      <c r="F7" s="6" t="s">
        <v>92</v>
      </c>
      <c r="G7" s="6" t="s">
        <v>93</v>
      </c>
      <c r="H7" s="6" t="s">
        <v>94</v>
      </c>
      <c r="I7" s="775"/>
      <c r="J7" s="106" t="s">
        <v>95</v>
      </c>
    </row>
    <row r="8" spans="1:22" ht="14.25" thickBot="1" x14ac:dyDescent="0.2">
      <c r="B8" s="753"/>
      <c r="C8" s="39"/>
      <c r="D8" s="39"/>
      <c r="E8" s="40"/>
      <c r="F8" s="39"/>
      <c r="G8" s="56" t="s">
        <v>96</v>
      </c>
      <c r="H8" s="56" t="s">
        <v>96</v>
      </c>
      <c r="I8" s="776"/>
      <c r="J8" s="52"/>
    </row>
    <row r="9" spans="1:22" ht="15" customHeight="1" thickTop="1" x14ac:dyDescent="0.15">
      <c r="B9" s="23"/>
      <c r="C9" s="117"/>
      <c r="D9" s="6"/>
      <c r="E9" s="287"/>
      <c r="F9" s="6"/>
      <c r="G9" s="12"/>
      <c r="H9" s="206"/>
      <c r="I9" s="470" t="s">
        <v>474</v>
      </c>
      <c r="J9" s="415"/>
    </row>
    <row r="10" spans="1:22" ht="15" customHeight="1" x14ac:dyDescent="0.15">
      <c r="B10" s="23"/>
      <c r="C10" s="8" t="s">
        <v>335</v>
      </c>
      <c r="D10" s="414" t="s">
        <v>777</v>
      </c>
      <c r="E10" s="413">
        <v>1</v>
      </c>
      <c r="F10" s="8" t="s">
        <v>237</v>
      </c>
      <c r="G10" s="412">
        <v>8040</v>
      </c>
      <c r="H10" s="216">
        <f>IF(ISTEXT(E10),'経費(電)'!$D$13,IF(E10=0,"",TRUNC(E10*G10)))</f>
        <v>8040</v>
      </c>
      <c r="I10" s="419" t="s">
        <v>475</v>
      </c>
      <c r="J10" s="496" t="s">
        <v>776</v>
      </c>
      <c r="V10" t="str">
        <f>IF(ISTEXT($F10),'経費(電)'!$D$13,IF($F10=0,"",TRUNC($F10*U10)))</f>
        <v xml:space="preserve">－　　 </v>
      </c>
    </row>
    <row r="11" spans="1:22" ht="15" customHeight="1" x14ac:dyDescent="0.15">
      <c r="B11" s="23"/>
      <c r="C11" s="6"/>
      <c r="D11" s="6"/>
      <c r="E11" s="291"/>
      <c r="F11" s="6"/>
      <c r="G11" s="12"/>
      <c r="H11" s="206"/>
      <c r="I11" s="10"/>
      <c r="J11" s="59"/>
      <c r="M11" t="str">
        <f>"("&amp;FIXED(TRUNC(-L11),0)&amp;" "</f>
        <v xml:space="preserve">(0 </v>
      </c>
      <c r="N11" t="str">
        <f>" "&amp;RIGHT(FIXED(L11,1,TRUE),1)&amp;") "</f>
        <v xml:space="preserve"> 0) </v>
      </c>
    </row>
    <row r="12" spans="1:22" ht="15" customHeight="1" x14ac:dyDescent="0.15">
      <c r="B12" s="23"/>
      <c r="C12" s="8"/>
      <c r="D12" s="8"/>
      <c r="E12" s="290"/>
      <c r="F12" s="8"/>
      <c r="G12" s="13"/>
      <c r="H12" s="216"/>
      <c r="I12" s="143"/>
      <c r="J12" s="142"/>
    </row>
    <row r="13" spans="1:22" ht="15" customHeight="1" x14ac:dyDescent="0.15">
      <c r="B13" s="23"/>
      <c r="C13" s="6"/>
      <c r="D13" s="6"/>
      <c r="E13" s="287"/>
      <c r="F13" s="6"/>
      <c r="G13" s="12"/>
      <c r="H13" s="206"/>
      <c r="I13" s="10"/>
      <c r="J13" s="59"/>
    </row>
    <row r="14" spans="1:22" ht="15" customHeight="1" x14ac:dyDescent="0.15">
      <c r="B14" s="23"/>
      <c r="C14" s="8"/>
      <c r="D14" s="8"/>
      <c r="E14" s="288"/>
      <c r="F14" s="8"/>
      <c r="G14" s="13"/>
      <c r="H14" s="216"/>
      <c r="I14" s="9"/>
      <c r="J14" s="142"/>
    </row>
    <row r="15" spans="1:22" ht="15" customHeight="1" x14ac:dyDescent="0.15">
      <c r="B15" s="23"/>
      <c r="C15" s="6"/>
      <c r="D15" s="6"/>
      <c r="E15" s="287"/>
      <c r="F15" s="6"/>
      <c r="G15" s="12"/>
      <c r="H15" s="206"/>
      <c r="I15" s="10"/>
      <c r="J15" s="59"/>
    </row>
    <row r="16" spans="1:22" ht="15" customHeight="1" x14ac:dyDescent="0.15">
      <c r="B16" s="23"/>
      <c r="C16" s="8"/>
      <c r="D16" s="8"/>
      <c r="E16" s="288"/>
      <c r="F16" s="8"/>
      <c r="G16" s="13"/>
      <c r="H16" s="216"/>
      <c r="I16" s="9"/>
      <c r="J16" s="142"/>
    </row>
    <row r="17" spans="2:10" ht="15" customHeight="1" x14ac:dyDescent="0.15">
      <c r="B17" s="23"/>
      <c r="C17" s="6"/>
      <c r="D17" s="6"/>
      <c r="E17" s="287"/>
      <c r="F17" s="6"/>
      <c r="G17" s="12"/>
      <c r="H17" s="206"/>
      <c r="I17" s="10"/>
      <c r="J17" s="50"/>
    </row>
    <row r="18" spans="2:10" ht="15" customHeight="1" x14ac:dyDescent="0.15">
      <c r="B18" s="23"/>
      <c r="C18" s="8"/>
      <c r="D18" s="8"/>
      <c r="E18" s="288"/>
      <c r="F18" s="8"/>
      <c r="G18" s="13"/>
      <c r="H18" s="216"/>
      <c r="I18" s="9"/>
      <c r="J18" s="107"/>
    </row>
    <row r="19" spans="2:10" ht="15" customHeight="1" x14ac:dyDescent="0.15">
      <c r="B19" s="23"/>
      <c r="C19" s="6"/>
      <c r="D19" s="6"/>
      <c r="E19" s="287"/>
      <c r="F19" s="6"/>
      <c r="G19" s="12"/>
      <c r="H19" s="206"/>
      <c r="I19" s="10"/>
      <c r="J19" s="50"/>
    </row>
    <row r="20" spans="2:10" ht="15" customHeight="1" x14ac:dyDescent="0.15">
      <c r="B20" s="23"/>
      <c r="C20" s="8" t="s">
        <v>104</v>
      </c>
      <c r="D20" s="8"/>
      <c r="E20" s="288"/>
      <c r="F20" s="8"/>
      <c r="G20" s="13"/>
      <c r="H20" s="216">
        <f>SUM(H10,H12,H14,H16,H18)</f>
        <v>8040</v>
      </c>
      <c r="I20" s="9"/>
      <c r="J20" s="107"/>
    </row>
    <row r="21" spans="2:10" ht="15" customHeight="1" x14ac:dyDescent="0.15">
      <c r="B21" s="23"/>
      <c r="C21" s="6"/>
      <c r="D21" s="6"/>
      <c r="E21" s="287"/>
      <c r="F21" s="6"/>
      <c r="G21" s="12"/>
      <c r="H21" s="206"/>
      <c r="I21" s="10"/>
      <c r="J21" s="50"/>
    </row>
    <row r="22" spans="2:10" ht="15" customHeight="1" x14ac:dyDescent="0.15">
      <c r="B22" s="23"/>
      <c r="C22" s="8" t="s">
        <v>238</v>
      </c>
      <c r="D22" s="8"/>
      <c r="E22" s="288"/>
      <c r="F22" s="8"/>
      <c r="G22" s="13"/>
      <c r="H22" s="216">
        <f>TRUNC(H20,-3)</f>
        <v>8000</v>
      </c>
      <c r="I22" s="9"/>
      <c r="J22" s="107"/>
    </row>
    <row r="23" spans="2:10" ht="15" customHeight="1" x14ac:dyDescent="0.15">
      <c r="B23" s="23"/>
      <c r="C23" s="6"/>
      <c r="D23" s="6"/>
      <c r="E23" s="287"/>
      <c r="F23" s="6"/>
      <c r="G23" s="12"/>
      <c r="H23" s="206"/>
      <c r="I23" s="10"/>
      <c r="J23" s="50"/>
    </row>
    <row r="24" spans="2:10" ht="15" customHeight="1" x14ac:dyDescent="0.15">
      <c r="B24" s="23"/>
      <c r="C24" s="8"/>
      <c r="D24" s="8"/>
      <c r="E24" s="288"/>
      <c r="F24" s="8"/>
      <c r="G24" s="13"/>
      <c r="H24" s="216"/>
      <c r="I24" s="9"/>
      <c r="J24" s="107"/>
    </row>
    <row r="25" spans="2:10" ht="15" customHeight="1" x14ac:dyDescent="0.15">
      <c r="B25" s="23"/>
      <c r="C25" s="6"/>
      <c r="D25" s="6"/>
      <c r="E25" s="287"/>
      <c r="F25" s="6"/>
      <c r="G25" s="12"/>
      <c r="H25" s="206"/>
      <c r="I25" s="10"/>
      <c r="J25" s="50"/>
    </row>
    <row r="26" spans="2:10" ht="15" customHeight="1" x14ac:dyDescent="0.15">
      <c r="B26" s="23"/>
      <c r="C26" s="8"/>
      <c r="D26" s="8"/>
      <c r="E26" s="288"/>
      <c r="F26" s="8"/>
      <c r="G26" s="13"/>
      <c r="H26" s="216"/>
      <c r="I26" s="9"/>
      <c r="J26" s="107"/>
    </row>
    <row r="27" spans="2:10" ht="15" customHeight="1" x14ac:dyDescent="0.15">
      <c r="B27" s="23"/>
      <c r="C27" s="6"/>
      <c r="D27" s="6"/>
      <c r="E27" s="287"/>
      <c r="F27" s="6"/>
      <c r="G27" s="12"/>
      <c r="H27" s="12"/>
      <c r="I27" s="10"/>
      <c r="J27" s="50"/>
    </row>
    <row r="28" spans="2:10" ht="15" customHeight="1" x14ac:dyDescent="0.15">
      <c r="B28" s="23"/>
      <c r="C28" s="8"/>
      <c r="D28" s="8"/>
      <c r="E28" s="288"/>
      <c r="F28" s="8"/>
      <c r="G28" s="13"/>
      <c r="H28" s="13"/>
      <c r="I28" s="9"/>
      <c r="J28" s="107"/>
    </row>
    <row r="29" spans="2:10" ht="15" customHeight="1" x14ac:dyDescent="0.15">
      <c r="B29" s="23"/>
      <c r="C29" s="6"/>
      <c r="D29" s="6"/>
      <c r="E29" s="287"/>
      <c r="F29" s="6"/>
      <c r="G29" s="12"/>
      <c r="H29" s="12"/>
      <c r="I29" s="10"/>
      <c r="J29" s="50"/>
    </row>
    <row r="30" spans="2:10" ht="15" customHeight="1" x14ac:dyDescent="0.15">
      <c r="B30" s="23"/>
      <c r="C30" s="8"/>
      <c r="D30" s="8"/>
      <c r="E30" s="288"/>
      <c r="F30" s="8"/>
      <c r="G30" s="13"/>
      <c r="H30" s="13"/>
      <c r="I30" s="9"/>
      <c r="J30" s="107"/>
    </row>
    <row r="31" spans="2:10" ht="15" customHeight="1" x14ac:dyDescent="0.15">
      <c r="B31" s="23"/>
      <c r="C31" s="6"/>
      <c r="D31" s="6"/>
      <c r="E31" s="287"/>
      <c r="F31" s="6"/>
      <c r="G31" s="12"/>
      <c r="H31" s="12"/>
      <c r="I31" s="10"/>
      <c r="J31" s="50"/>
    </row>
    <row r="32" spans="2:10" ht="15" customHeight="1" x14ac:dyDescent="0.15">
      <c r="B32" s="23"/>
      <c r="C32" s="8"/>
      <c r="D32" s="8"/>
      <c r="E32" s="288"/>
      <c r="F32" s="8"/>
      <c r="G32" s="13"/>
      <c r="H32" s="13"/>
      <c r="I32" s="9"/>
      <c r="J32" s="107"/>
    </row>
    <row r="33" spans="2:10" ht="15" customHeight="1" x14ac:dyDescent="0.15">
      <c r="B33" s="23"/>
      <c r="C33" s="6"/>
      <c r="D33" s="6"/>
      <c r="E33" s="287"/>
      <c r="F33" s="6"/>
      <c r="G33" s="12"/>
      <c r="H33" s="12"/>
      <c r="I33" s="10"/>
      <c r="J33" s="50"/>
    </row>
    <row r="34" spans="2:10" ht="15" customHeight="1" x14ac:dyDescent="0.15">
      <c r="B34" s="23"/>
      <c r="C34" s="8"/>
      <c r="D34" s="8"/>
      <c r="E34" s="288"/>
      <c r="F34" s="8"/>
      <c r="G34" s="13"/>
      <c r="H34" s="13"/>
      <c r="I34" s="9"/>
      <c r="J34" s="107"/>
    </row>
    <row r="35" spans="2:10" ht="15" customHeight="1" x14ac:dyDescent="0.15">
      <c r="B35" s="23"/>
      <c r="C35" s="6"/>
      <c r="D35" s="6"/>
      <c r="E35" s="287"/>
      <c r="F35" s="6"/>
      <c r="G35" s="12"/>
      <c r="H35" s="12"/>
      <c r="I35" s="10"/>
      <c r="J35" s="50"/>
    </row>
    <row r="36" spans="2:10" ht="15" customHeight="1" x14ac:dyDescent="0.15">
      <c r="B36" s="23"/>
      <c r="C36" s="8"/>
      <c r="D36" s="8"/>
      <c r="E36" s="288"/>
      <c r="F36" s="8"/>
      <c r="G36" s="13"/>
      <c r="H36" s="13"/>
      <c r="I36" s="9"/>
      <c r="J36" s="107"/>
    </row>
    <row r="37" spans="2:10" ht="15" customHeight="1" x14ac:dyDescent="0.15">
      <c r="B37" s="23"/>
      <c r="C37" s="6"/>
      <c r="D37" s="6"/>
      <c r="E37" s="287"/>
      <c r="F37" s="6"/>
      <c r="G37" s="12"/>
      <c r="H37" s="12"/>
      <c r="I37" s="10"/>
      <c r="J37" s="50"/>
    </row>
    <row r="38" spans="2:10" ht="15" customHeight="1" x14ac:dyDescent="0.15">
      <c r="B38" s="23"/>
      <c r="C38" s="8"/>
      <c r="D38" s="8"/>
      <c r="E38" s="288"/>
      <c r="F38" s="8"/>
      <c r="G38" s="13"/>
      <c r="H38" s="13"/>
      <c r="I38" s="9"/>
      <c r="J38" s="107"/>
    </row>
    <row r="39" spans="2:10" ht="15" customHeight="1" x14ac:dyDescent="0.15">
      <c r="B39" s="23"/>
      <c r="C39" s="6"/>
      <c r="D39" s="6"/>
      <c r="E39" s="287"/>
      <c r="F39" s="6"/>
      <c r="G39" s="12"/>
      <c r="H39" s="12"/>
      <c r="I39" s="10"/>
      <c r="J39" s="50"/>
    </row>
    <row r="40" spans="2:10" ht="15" customHeight="1" x14ac:dyDescent="0.15">
      <c r="B40" s="23"/>
      <c r="C40" s="8"/>
      <c r="D40" s="8"/>
      <c r="E40" s="288"/>
      <c r="F40" s="8"/>
      <c r="G40" s="13"/>
      <c r="H40" s="13"/>
      <c r="I40" s="9"/>
      <c r="J40" s="107"/>
    </row>
    <row r="41" spans="2:10" ht="15" customHeight="1" x14ac:dyDescent="0.15">
      <c r="B41" s="23"/>
      <c r="C41" s="6"/>
      <c r="D41" s="6"/>
      <c r="E41" s="287"/>
      <c r="F41" s="6"/>
      <c r="G41" s="12"/>
      <c r="H41" s="12"/>
      <c r="I41" s="10"/>
      <c r="J41" s="50"/>
    </row>
    <row r="42" spans="2:10" ht="15" customHeight="1" x14ac:dyDescent="0.15">
      <c r="B42" s="23"/>
      <c r="C42" s="8"/>
      <c r="D42" s="8"/>
      <c r="E42" s="288"/>
      <c r="F42" s="8"/>
      <c r="G42" s="13"/>
      <c r="H42" s="13"/>
      <c r="I42" s="9"/>
      <c r="J42" s="107"/>
    </row>
    <row r="43" spans="2:10" ht="15" customHeight="1" x14ac:dyDescent="0.15">
      <c r="B43" s="23"/>
      <c r="C43" s="6"/>
      <c r="D43" s="6"/>
      <c r="E43" s="287"/>
      <c r="F43" s="6"/>
      <c r="G43" s="12"/>
      <c r="H43" s="12"/>
      <c r="I43" s="10"/>
      <c r="J43" s="50"/>
    </row>
    <row r="44" spans="2:10" ht="15" customHeight="1" x14ac:dyDescent="0.15">
      <c r="B44" s="23"/>
      <c r="C44" s="8"/>
      <c r="D44" s="8"/>
      <c r="E44" s="288"/>
      <c r="F44" s="8"/>
      <c r="G44" s="13"/>
      <c r="H44" s="13"/>
      <c r="I44" s="9"/>
      <c r="J44" s="107"/>
    </row>
    <row r="45" spans="2:10" ht="15" customHeight="1" x14ac:dyDescent="0.15">
      <c r="B45" s="23"/>
      <c r="C45" s="6"/>
      <c r="D45" s="6"/>
      <c r="E45" s="287"/>
      <c r="F45" s="6"/>
      <c r="G45" s="12"/>
      <c r="H45" s="12"/>
      <c r="I45" s="10"/>
      <c r="J45" s="50"/>
    </row>
    <row r="46" spans="2:10" ht="15" customHeight="1" x14ac:dyDescent="0.15">
      <c r="B46" s="23"/>
      <c r="C46" s="8"/>
      <c r="D46" s="8"/>
      <c r="E46" s="288"/>
      <c r="F46" s="8"/>
      <c r="G46" s="13"/>
      <c r="H46" s="13"/>
      <c r="I46" s="9"/>
      <c r="J46" s="107"/>
    </row>
    <row r="47" spans="2:10" ht="15" customHeight="1" x14ac:dyDescent="0.15">
      <c r="B47" s="23"/>
      <c r="C47" s="6"/>
      <c r="D47" s="6"/>
      <c r="E47" s="287"/>
      <c r="F47" s="6"/>
      <c r="G47" s="12"/>
      <c r="H47" s="12"/>
      <c r="I47" s="10"/>
      <c r="J47" s="50"/>
    </row>
    <row r="48" spans="2:10" ht="15" customHeight="1" x14ac:dyDescent="0.15">
      <c r="B48" s="23"/>
      <c r="C48" s="8"/>
      <c r="D48" s="8"/>
      <c r="E48" s="288"/>
      <c r="F48" s="8"/>
      <c r="G48" s="13"/>
      <c r="H48" s="13"/>
      <c r="I48" s="9"/>
      <c r="J48" s="107"/>
    </row>
    <row r="49" spans="2:10" ht="15" customHeight="1" x14ac:dyDescent="0.15">
      <c r="B49" s="23"/>
      <c r="C49" s="6"/>
      <c r="D49" s="6"/>
      <c r="E49" s="287"/>
      <c r="F49" s="6"/>
      <c r="G49" s="12"/>
      <c r="H49" s="12"/>
      <c r="I49" s="10"/>
      <c r="J49" s="50"/>
    </row>
    <row r="50" spans="2:10" ht="15" customHeight="1" x14ac:dyDescent="0.15">
      <c r="B50" s="23"/>
      <c r="C50" s="8"/>
      <c r="D50" s="8"/>
      <c r="E50" s="288"/>
      <c r="F50" s="8"/>
      <c r="G50" s="13"/>
      <c r="H50" s="13"/>
      <c r="I50" s="9"/>
      <c r="J50" s="107"/>
    </row>
    <row r="51" spans="2:10" ht="15" customHeight="1" x14ac:dyDescent="0.15">
      <c r="B51" s="23"/>
      <c r="C51" s="6"/>
      <c r="D51" s="6"/>
      <c r="E51" s="287"/>
      <c r="F51" s="6"/>
      <c r="G51" s="12"/>
      <c r="H51" s="12"/>
      <c r="I51" s="10"/>
      <c r="J51" s="50"/>
    </row>
    <row r="52" spans="2:10" ht="15" customHeight="1" x14ac:dyDescent="0.15">
      <c r="B52" s="23"/>
      <c r="C52" s="8"/>
      <c r="D52" s="8"/>
      <c r="E52" s="288"/>
      <c r="F52" s="8"/>
      <c r="G52" s="13"/>
      <c r="H52" s="13"/>
      <c r="I52" s="9"/>
      <c r="J52" s="107"/>
    </row>
    <row r="53" spans="2:10" ht="15" customHeight="1" x14ac:dyDescent="0.15">
      <c r="B53" s="23"/>
      <c r="C53" s="6"/>
      <c r="D53" s="6"/>
      <c r="E53" s="287"/>
      <c r="F53" s="6"/>
      <c r="G53" s="12"/>
      <c r="H53" s="12"/>
      <c r="I53" s="10"/>
      <c r="J53" s="50"/>
    </row>
    <row r="54" spans="2:10" ht="15" customHeight="1" x14ac:dyDescent="0.15">
      <c r="B54" s="23"/>
      <c r="C54" s="8"/>
      <c r="D54" s="8"/>
      <c r="E54" s="288"/>
      <c r="F54" s="8"/>
      <c r="G54" s="13"/>
      <c r="H54" s="13"/>
      <c r="I54" s="9"/>
      <c r="J54" s="107"/>
    </row>
    <row r="55" spans="2:10" ht="15" customHeight="1" x14ac:dyDescent="0.15">
      <c r="B55" s="23"/>
      <c r="C55" s="6"/>
      <c r="D55" s="6"/>
      <c r="E55" s="287"/>
      <c r="F55" s="6"/>
      <c r="G55" s="12"/>
      <c r="H55" s="12"/>
      <c r="I55" s="10"/>
      <c r="J55" s="50"/>
    </row>
    <row r="56" spans="2:10" ht="15" customHeight="1" x14ac:dyDescent="0.15">
      <c r="B56" s="23"/>
      <c r="C56" s="8"/>
      <c r="D56" s="8"/>
      <c r="E56" s="288"/>
      <c r="F56" s="8"/>
      <c r="G56" s="13"/>
      <c r="H56" s="13"/>
      <c r="I56" s="9"/>
      <c r="J56" s="107"/>
    </row>
    <row r="57" spans="2:10" ht="15" customHeight="1" x14ac:dyDescent="0.15">
      <c r="B57" s="23"/>
      <c r="C57" s="6"/>
      <c r="D57" s="6"/>
      <c r="E57" s="287"/>
      <c r="F57" s="6"/>
      <c r="G57" s="12"/>
      <c r="H57" s="12"/>
      <c r="I57" s="10"/>
      <c r="J57" s="50"/>
    </row>
    <row r="58" spans="2:10" ht="15" customHeight="1" x14ac:dyDescent="0.15">
      <c r="B58" s="23"/>
      <c r="C58" s="8"/>
      <c r="D58" s="8"/>
      <c r="E58" s="288"/>
      <c r="F58" s="8"/>
      <c r="G58" s="13"/>
      <c r="H58" s="13"/>
      <c r="I58" s="9"/>
      <c r="J58" s="107"/>
    </row>
    <row r="59" spans="2:10" ht="15" customHeight="1" x14ac:dyDescent="0.15">
      <c r="B59" s="23"/>
      <c r="C59" s="6"/>
      <c r="D59" s="6"/>
      <c r="E59" s="287"/>
      <c r="F59" s="6"/>
      <c r="G59" s="12"/>
      <c r="H59" s="12"/>
      <c r="I59" s="10"/>
      <c r="J59" s="50"/>
    </row>
    <row r="60" spans="2:10" ht="15" customHeight="1" x14ac:dyDescent="0.15">
      <c r="B60" s="23"/>
      <c r="C60" s="8"/>
      <c r="D60" s="8"/>
      <c r="E60" s="288"/>
      <c r="F60" s="8"/>
      <c r="G60" s="13"/>
      <c r="H60" s="13"/>
      <c r="I60" s="9"/>
      <c r="J60" s="107"/>
    </row>
    <row r="61" spans="2:10" ht="15" customHeight="1" x14ac:dyDescent="0.15">
      <c r="B61" s="23"/>
      <c r="C61" s="6"/>
      <c r="D61" s="6"/>
      <c r="E61" s="287"/>
      <c r="F61" s="6"/>
      <c r="G61" s="12"/>
      <c r="H61" s="12"/>
      <c r="I61" s="10"/>
      <c r="J61" s="50"/>
    </row>
    <row r="62" spans="2:10" ht="15" customHeight="1" x14ac:dyDescent="0.15">
      <c r="B62" s="23"/>
      <c r="C62" s="8"/>
      <c r="D62" s="8"/>
      <c r="E62" s="288"/>
      <c r="F62" s="8"/>
      <c r="G62" s="13"/>
      <c r="H62" s="13"/>
      <c r="I62" s="9"/>
      <c r="J62" s="107"/>
    </row>
    <row r="63" spans="2:10" ht="15" customHeight="1" x14ac:dyDescent="0.15">
      <c r="B63" s="23"/>
      <c r="C63" s="6"/>
      <c r="D63" s="6"/>
      <c r="E63" s="287"/>
      <c r="F63" s="6"/>
      <c r="G63" s="12"/>
      <c r="H63" s="12"/>
      <c r="I63" s="10"/>
      <c r="J63" s="50"/>
    </row>
    <row r="64" spans="2:10" ht="15" customHeight="1" x14ac:dyDescent="0.15">
      <c r="B64" s="23"/>
      <c r="C64" s="8"/>
      <c r="D64" s="8"/>
      <c r="E64" s="288"/>
      <c r="F64" s="8"/>
      <c r="G64" s="13"/>
      <c r="H64" s="13"/>
      <c r="I64" s="9"/>
      <c r="J64" s="107"/>
    </row>
    <row r="65" spans="2:10" ht="15" customHeight="1" x14ac:dyDescent="0.15">
      <c r="B65" s="23"/>
      <c r="C65" s="6"/>
      <c r="D65" s="6"/>
      <c r="E65" s="287"/>
      <c r="F65" s="6"/>
      <c r="G65" s="12"/>
      <c r="H65" s="12"/>
      <c r="I65" s="10"/>
      <c r="J65" s="50"/>
    </row>
    <row r="66" spans="2:10" ht="15" customHeight="1" x14ac:dyDescent="0.15">
      <c r="B66" s="23"/>
      <c r="C66" s="8"/>
      <c r="D66" s="8"/>
      <c r="E66" s="288"/>
      <c r="F66" s="8"/>
      <c r="G66" s="13"/>
      <c r="H66" s="13"/>
      <c r="I66" s="9"/>
      <c r="J66" s="107"/>
    </row>
    <row r="67" spans="2:10" ht="15" customHeight="1" x14ac:dyDescent="0.15">
      <c r="B67" s="23"/>
      <c r="C67" s="6"/>
      <c r="D67" s="6"/>
      <c r="E67" s="287"/>
      <c r="F67" s="6"/>
      <c r="G67" s="12"/>
      <c r="H67" s="12"/>
      <c r="I67" s="10"/>
      <c r="J67" s="50"/>
    </row>
    <row r="68" spans="2:10" ht="15" customHeight="1" x14ac:dyDescent="0.15">
      <c r="B68" s="23"/>
      <c r="C68" s="8"/>
      <c r="D68" s="8"/>
      <c r="E68" s="288"/>
      <c r="F68" s="8"/>
      <c r="G68" s="13"/>
      <c r="H68" s="13"/>
      <c r="I68" s="9"/>
      <c r="J68" s="107"/>
    </row>
    <row r="69" spans="2:10" ht="15" customHeight="1" x14ac:dyDescent="0.15">
      <c r="B69" s="23"/>
      <c r="C69" s="6"/>
      <c r="D69" s="6"/>
      <c r="E69" s="287"/>
      <c r="F69" s="6"/>
      <c r="G69" s="12"/>
      <c r="H69" s="12"/>
      <c r="I69" s="10"/>
      <c r="J69" s="50"/>
    </row>
    <row r="70" spans="2:10" ht="15" customHeight="1" thickBot="1" x14ac:dyDescent="0.2">
      <c r="B70" s="28"/>
      <c r="C70" s="29"/>
      <c r="D70" s="29"/>
      <c r="E70" s="289"/>
      <c r="F70" s="29"/>
      <c r="G70" s="31"/>
      <c r="H70" s="31"/>
      <c r="I70" s="30"/>
      <c r="J70" s="55"/>
    </row>
  </sheetData>
  <mergeCells count="2">
    <mergeCell ref="I6:I8"/>
    <mergeCell ref="B6:B8"/>
  </mergeCells>
  <phoneticPr fontId="6"/>
  <pageMargins left="0.70866141732283472" right="0.19685039370078741" top="0.78740157480314965" bottom="0.39370078740157483" header="0" footer="0"/>
  <pageSetup paperSize="9" scale="80"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3:N72"/>
  <sheetViews>
    <sheetView view="pageBreakPreview" topLeftCell="A4" zoomScaleNormal="90" zoomScaleSheetLayoutView="100" workbookViewId="0">
      <selection activeCell="J6" sqref="J6"/>
    </sheetView>
  </sheetViews>
  <sheetFormatPr defaultRowHeight="13.5" x14ac:dyDescent="0.15"/>
  <cols>
    <col min="1" max="1" width="4.625" customWidth="1"/>
    <col min="2" max="2" width="3.625" customWidth="1"/>
    <col min="3" max="3" width="20.625" customWidth="1"/>
    <col min="4" max="4" width="22.625" customWidth="1"/>
    <col min="5" max="5" width="11.625" customWidth="1"/>
    <col min="6" max="6" width="4.625" customWidth="1"/>
    <col min="7" max="7" width="10.625" customWidth="1"/>
    <col min="8" max="8" width="15.625" customWidth="1"/>
    <col min="9" max="9" width="7.625" customWidth="1"/>
    <col min="10" max="10" width="19.625" customWidth="1"/>
    <col min="12" max="12" width="18.625" customWidth="1"/>
    <col min="13" max="13" width="11.625" bestFit="1" customWidth="1"/>
    <col min="14" max="14" width="10.5" bestFit="1" customWidth="1"/>
  </cols>
  <sheetData>
    <row r="3" spans="2:14" ht="14.25" thickBot="1" x14ac:dyDescent="0.2"/>
    <row r="4" spans="2:14" x14ac:dyDescent="0.15">
      <c r="B4" s="16"/>
      <c r="C4" s="17"/>
      <c r="D4" s="17"/>
      <c r="E4" s="18"/>
      <c r="F4" s="17"/>
      <c r="G4" s="18"/>
      <c r="H4" s="18"/>
      <c r="I4" s="18"/>
      <c r="J4" s="19"/>
    </row>
    <row r="5" spans="2:14" ht="18.75" x14ac:dyDescent="0.15">
      <c r="B5" s="457" t="s">
        <v>425</v>
      </c>
      <c r="C5" s="25"/>
      <c r="D5" s="25"/>
      <c r="E5" s="25"/>
      <c r="F5" s="25"/>
      <c r="G5" s="25"/>
      <c r="H5" s="25"/>
      <c r="I5" s="25"/>
      <c r="J5" s="26"/>
    </row>
    <row r="6" spans="2:14" ht="17.25" x14ac:dyDescent="0.2">
      <c r="B6" s="23"/>
      <c r="C6" s="20"/>
      <c r="D6" s="460">
        <f ca="1">H35</f>
        <v>0</v>
      </c>
      <c r="E6" s="21"/>
      <c r="F6" s="20"/>
      <c r="G6" s="21"/>
      <c r="H6" s="21"/>
      <c r="I6" s="21"/>
      <c r="J6" s="700" t="str">
        <f>工事価格!K5</f>
        <v>補助</v>
      </c>
    </row>
    <row r="7" spans="2:14" ht="17.25" x14ac:dyDescent="0.15">
      <c r="B7" s="23"/>
      <c r="C7" s="20"/>
      <c r="D7" s="459">
        <f>H38</f>
        <v>1444000</v>
      </c>
      <c r="E7" s="21"/>
      <c r="F7" s="20"/>
      <c r="G7" s="21"/>
      <c r="H7" s="21"/>
      <c r="I7" s="21"/>
      <c r="J7" s="686" t="s">
        <v>825</v>
      </c>
    </row>
    <row r="8" spans="2:14" ht="13.5" customHeight="1" x14ac:dyDescent="0.15">
      <c r="B8" s="751" t="s">
        <v>258</v>
      </c>
      <c r="C8" s="4"/>
      <c r="D8" s="4"/>
      <c r="E8" s="5"/>
      <c r="F8" s="4"/>
      <c r="G8" s="648"/>
      <c r="H8" s="648"/>
      <c r="I8" s="774" t="s">
        <v>257</v>
      </c>
      <c r="J8" s="105"/>
    </row>
    <row r="9" spans="2:14" x14ac:dyDescent="0.15">
      <c r="B9" s="752"/>
      <c r="C9" s="6" t="s">
        <v>89</v>
      </c>
      <c r="D9" s="6" t="s">
        <v>90</v>
      </c>
      <c r="E9" s="7" t="s">
        <v>91</v>
      </c>
      <c r="F9" s="6" t="s">
        <v>92</v>
      </c>
      <c r="G9" s="6" t="s">
        <v>93</v>
      </c>
      <c r="H9" s="6" t="s">
        <v>94</v>
      </c>
      <c r="I9" s="775"/>
      <c r="J9" s="106" t="s">
        <v>95</v>
      </c>
    </row>
    <row r="10" spans="2:14" ht="14.25" thickBot="1" x14ac:dyDescent="0.2">
      <c r="B10" s="753"/>
      <c r="C10" s="39"/>
      <c r="D10" s="39"/>
      <c r="E10" s="40"/>
      <c r="F10" s="39"/>
      <c r="G10" s="56" t="s">
        <v>96</v>
      </c>
      <c r="H10" s="56" t="s">
        <v>96</v>
      </c>
      <c r="I10" s="776"/>
      <c r="J10" s="52"/>
      <c r="M10" t="s">
        <v>269</v>
      </c>
      <c r="N10" t="s">
        <v>270</v>
      </c>
    </row>
    <row r="11" spans="2:14" ht="15" customHeight="1" thickTop="1" x14ac:dyDescent="0.15">
      <c r="B11" s="23"/>
      <c r="C11" s="6"/>
      <c r="D11" s="6"/>
      <c r="E11" s="287"/>
      <c r="F11" s="6"/>
      <c r="G11" s="12"/>
      <c r="H11" s="229">
        <f ca="1">IF(OR(鏡!H$2&lt;&gt;2,M12+N12=0),0,N12)</f>
        <v>0</v>
      </c>
      <c r="I11" s="656" t="s">
        <v>813</v>
      </c>
      <c r="J11" s="50"/>
    </row>
    <row r="12" spans="2:14" ht="15" customHeight="1" x14ac:dyDescent="0.15">
      <c r="B12" s="23"/>
      <c r="C12" s="8" t="s">
        <v>361</v>
      </c>
      <c r="D12" s="8"/>
      <c r="E12" s="288">
        <v>1</v>
      </c>
      <c r="F12" s="8" t="s">
        <v>99</v>
      </c>
      <c r="G12" s="13"/>
      <c r="H12" s="13">
        <f>M12</f>
        <v>119260</v>
      </c>
      <c r="I12" s="657" t="s">
        <v>789</v>
      </c>
      <c r="J12" s="139"/>
      <c r="L12" t="str">
        <f>C12</f>
        <v>電気設備据付工</v>
      </c>
      <c r="M12" s="529">
        <v>119260</v>
      </c>
      <c r="N12">
        <f ca="1">TRUNC('電_技術者間接費 (矢田)'!$Z$5,-3)</f>
        <v>0</v>
      </c>
    </row>
    <row r="13" spans="2:14" ht="15" customHeight="1" x14ac:dyDescent="0.15">
      <c r="B13" s="23"/>
      <c r="C13" s="6"/>
      <c r="D13" s="6"/>
      <c r="E13" s="287"/>
      <c r="F13" s="6"/>
      <c r="G13" s="12"/>
      <c r="H13" s="229">
        <f ca="1">IF(OR(鏡!H$2&lt;&gt;2,M14+N14=0),0,N14)</f>
        <v>0</v>
      </c>
      <c r="I13" s="656" t="s">
        <v>814</v>
      </c>
      <c r="J13" s="50"/>
      <c r="M13" s="529"/>
    </row>
    <row r="14" spans="2:14" ht="15" customHeight="1" x14ac:dyDescent="0.15">
      <c r="B14" s="23"/>
      <c r="C14" s="8" t="s">
        <v>799</v>
      </c>
      <c r="D14" s="8"/>
      <c r="E14" s="288">
        <v>1</v>
      </c>
      <c r="F14" s="8" t="s">
        <v>99</v>
      </c>
      <c r="G14" s="13"/>
      <c r="H14" s="13">
        <f>M14</f>
        <v>1325000</v>
      </c>
      <c r="I14" s="657" t="s">
        <v>789</v>
      </c>
      <c r="J14" s="108"/>
      <c r="L14" t="str">
        <f>C14</f>
        <v>労　務 費</v>
      </c>
      <c r="M14" s="529">
        <v>1325000</v>
      </c>
      <c r="N14">
        <f ca="1">TRUNC(電_引込!$AA$5,-3)</f>
        <v>0</v>
      </c>
    </row>
    <row r="15" spans="2:14" ht="15" customHeight="1" x14ac:dyDescent="0.15">
      <c r="B15" s="23"/>
      <c r="C15" s="6"/>
      <c r="D15" s="6"/>
      <c r="E15" s="287"/>
      <c r="F15" s="6"/>
      <c r="G15" s="12"/>
      <c r="H15" s="229">
        <f ca="1">IF(OR(鏡!H$2&lt;&gt;2,M16+N16=0),0,N16)</f>
        <v>0</v>
      </c>
      <c r="I15" s="656" t="s">
        <v>710</v>
      </c>
      <c r="J15" s="50"/>
      <c r="M15" s="529"/>
    </row>
    <row r="16" spans="2:14" ht="15" customHeight="1" x14ac:dyDescent="0.15">
      <c r="B16" s="23"/>
      <c r="C16" s="8" t="s">
        <v>786</v>
      </c>
      <c r="D16" s="8"/>
      <c r="E16" s="288">
        <v>1</v>
      </c>
      <c r="F16" s="8" t="s">
        <v>99</v>
      </c>
      <c r="G16" s="13"/>
      <c r="H16" s="13">
        <f>M16</f>
        <v>47</v>
      </c>
      <c r="I16" s="657" t="s">
        <v>789</v>
      </c>
      <c r="J16" s="108"/>
      <c r="L16" t="str">
        <f>C16</f>
        <v>輸 送 費</v>
      </c>
      <c r="M16" s="529">
        <v>47</v>
      </c>
      <c r="N16">
        <f ca="1">TRUNC(電_動力・計装!$AA$5,-3)</f>
        <v>0</v>
      </c>
    </row>
    <row r="17" spans="2:14" ht="15" customHeight="1" x14ac:dyDescent="0.15">
      <c r="B17" s="23"/>
      <c r="C17" s="6"/>
      <c r="D17" s="6"/>
      <c r="E17" s="287"/>
      <c r="F17" s="6"/>
      <c r="G17" s="12"/>
      <c r="H17" s="229"/>
      <c r="I17" s="656"/>
      <c r="J17" s="50"/>
      <c r="L17" s="113"/>
      <c r="M17" s="529"/>
    </row>
    <row r="18" spans="2:14" ht="15" customHeight="1" x14ac:dyDescent="0.15">
      <c r="B18" s="23"/>
      <c r="C18" s="8"/>
      <c r="D18" s="8"/>
      <c r="E18" s="288"/>
      <c r="F18" s="8"/>
      <c r="G18" s="13"/>
      <c r="H18" s="13"/>
      <c r="I18" s="657"/>
      <c r="J18" s="141"/>
      <c r="L18" s="113">
        <f>C18</f>
        <v>0</v>
      </c>
      <c r="M18" s="529">
        <v>0</v>
      </c>
      <c r="N18">
        <f ca="1">TRUNC(電_電話!$AA$5,-3)</f>
        <v>0</v>
      </c>
    </row>
    <row r="19" spans="2:14" ht="15" customHeight="1" x14ac:dyDescent="0.15">
      <c r="B19" s="23"/>
      <c r="C19" s="6"/>
      <c r="D19" s="6"/>
      <c r="E19" s="287"/>
      <c r="F19" s="6"/>
      <c r="G19" s="12"/>
      <c r="H19" s="229"/>
      <c r="I19" s="656"/>
      <c r="J19" s="50"/>
      <c r="L19" s="113"/>
      <c r="M19" s="529"/>
    </row>
    <row r="20" spans="2:14" ht="15" customHeight="1" x14ac:dyDescent="0.15">
      <c r="B20" s="23"/>
      <c r="C20" s="8"/>
      <c r="D20" s="8"/>
      <c r="E20" s="288"/>
      <c r="F20" s="8"/>
      <c r="G20" s="13"/>
      <c r="H20" s="13"/>
      <c r="I20" s="657"/>
      <c r="J20" s="141"/>
      <c r="L20" s="113">
        <f>C20</f>
        <v>0</v>
      </c>
      <c r="M20" s="529">
        <v>0</v>
      </c>
      <c r="N20">
        <f ca="1">TRUNC(電_電話!$AA$5,-3)</f>
        <v>0</v>
      </c>
    </row>
    <row r="21" spans="2:14" ht="15" customHeight="1" x14ac:dyDescent="0.15">
      <c r="B21" s="23"/>
      <c r="C21" s="6"/>
      <c r="D21" s="6"/>
      <c r="E21" s="287"/>
      <c r="F21" s="6"/>
      <c r="G21" s="12"/>
      <c r="H21" s="229"/>
      <c r="I21" s="656"/>
      <c r="J21" s="50"/>
      <c r="L21" s="113"/>
      <c r="M21" s="529"/>
    </row>
    <row r="22" spans="2:14" ht="15" customHeight="1" x14ac:dyDescent="0.15">
      <c r="B22" s="23"/>
      <c r="C22" s="8"/>
      <c r="D22" s="8"/>
      <c r="E22" s="288"/>
      <c r="F22" s="8"/>
      <c r="G22" s="13"/>
      <c r="H22" s="13"/>
      <c r="I22" s="657"/>
      <c r="J22" s="141"/>
      <c r="L22" s="113">
        <f>C22</f>
        <v>0</v>
      </c>
      <c r="M22" s="529">
        <v>0</v>
      </c>
      <c r="N22">
        <f ca="1">TRUNC(電_電話!$AA$5,-3)</f>
        <v>0</v>
      </c>
    </row>
    <row r="23" spans="2:14" ht="15" customHeight="1" x14ac:dyDescent="0.15">
      <c r="B23" s="23"/>
      <c r="C23" s="6"/>
      <c r="D23" s="6"/>
      <c r="E23" s="287"/>
      <c r="F23" s="6"/>
      <c r="G23" s="12"/>
      <c r="H23" s="229"/>
      <c r="I23" s="656"/>
      <c r="J23" s="50"/>
      <c r="L23" s="113"/>
      <c r="M23" s="529"/>
    </row>
    <row r="24" spans="2:14" ht="15" customHeight="1" x14ac:dyDescent="0.15">
      <c r="B24" s="23"/>
      <c r="C24" s="8"/>
      <c r="D24" s="8"/>
      <c r="E24" s="288"/>
      <c r="F24" s="8"/>
      <c r="G24" s="13"/>
      <c r="H24" s="13"/>
      <c r="I24" s="657"/>
      <c r="J24" s="141"/>
      <c r="L24" s="113">
        <f>C24</f>
        <v>0</v>
      </c>
      <c r="M24" s="529"/>
      <c r="N24">
        <f ca="1">TRUNC(電_電話!$AA$5,-3)</f>
        <v>0</v>
      </c>
    </row>
    <row r="25" spans="2:14" ht="15" customHeight="1" x14ac:dyDescent="0.15">
      <c r="B25" s="23"/>
      <c r="C25" s="6"/>
      <c r="D25" s="6"/>
      <c r="E25" s="287"/>
      <c r="F25" s="6"/>
      <c r="G25" s="12"/>
      <c r="H25" s="229"/>
      <c r="I25" s="656"/>
      <c r="J25" s="50"/>
      <c r="L25" s="113"/>
      <c r="M25" s="529"/>
    </row>
    <row r="26" spans="2:14" ht="15" customHeight="1" x14ac:dyDescent="0.15">
      <c r="B26" s="23"/>
      <c r="C26" s="8"/>
      <c r="D26" s="8"/>
      <c r="E26" s="288"/>
      <c r="F26" s="8"/>
      <c r="G26" s="13"/>
      <c r="H26" s="13"/>
      <c r="I26" s="657"/>
      <c r="J26" s="141"/>
      <c r="L26" s="113">
        <f>C26</f>
        <v>0</v>
      </c>
      <c r="M26" s="529"/>
      <c r="N26">
        <f ca="1">TRUNC(電_電話!$AA$5,-3)</f>
        <v>0</v>
      </c>
    </row>
    <row r="27" spans="2:14" ht="15" customHeight="1" x14ac:dyDescent="0.15">
      <c r="B27" s="23"/>
      <c r="C27" s="6"/>
      <c r="D27" s="6"/>
      <c r="E27" s="287"/>
      <c r="F27" s="6"/>
      <c r="G27" s="12"/>
      <c r="H27" s="229"/>
      <c r="I27" s="656"/>
      <c r="J27" s="50"/>
      <c r="L27" s="113"/>
      <c r="M27" s="529"/>
    </row>
    <row r="28" spans="2:14" ht="15" customHeight="1" x14ac:dyDescent="0.15">
      <c r="B28" s="23"/>
      <c r="C28" s="8"/>
      <c r="D28" s="8"/>
      <c r="E28" s="288"/>
      <c r="F28" s="8"/>
      <c r="G28" s="13"/>
      <c r="H28" s="13"/>
      <c r="I28" s="657"/>
      <c r="J28" s="141"/>
      <c r="L28" s="113">
        <f>C28</f>
        <v>0</v>
      </c>
      <c r="M28" s="529"/>
      <c r="N28">
        <f ca="1">TRUNC(電_電話!$AA$5,-3)</f>
        <v>0</v>
      </c>
    </row>
    <row r="29" spans="2:14" ht="15" customHeight="1" x14ac:dyDescent="0.15">
      <c r="B29" s="23"/>
      <c r="C29" s="6"/>
      <c r="D29" s="6"/>
      <c r="E29" s="287"/>
      <c r="F29" s="6"/>
      <c r="G29" s="12"/>
      <c r="H29" s="229"/>
      <c r="I29" s="656"/>
      <c r="J29" s="50"/>
      <c r="L29" s="113"/>
      <c r="M29" s="529"/>
    </row>
    <row r="30" spans="2:14" ht="15" customHeight="1" x14ac:dyDescent="0.15">
      <c r="B30" s="23"/>
      <c r="C30" s="8"/>
      <c r="D30" s="8"/>
      <c r="E30" s="288"/>
      <c r="F30" s="8"/>
      <c r="G30" s="13"/>
      <c r="H30" s="13"/>
      <c r="I30" s="657"/>
      <c r="J30" s="141"/>
      <c r="L30" s="113">
        <f>C30</f>
        <v>0</v>
      </c>
      <c r="M30" s="529"/>
      <c r="N30">
        <f ca="1">TRUNC(電_屋外!$AA$5,-3)</f>
        <v>0</v>
      </c>
    </row>
    <row r="31" spans="2:14" ht="15" customHeight="1" x14ac:dyDescent="0.15">
      <c r="B31" s="23"/>
      <c r="C31" s="6"/>
      <c r="D31" s="6"/>
      <c r="E31" s="287"/>
      <c r="F31" s="6"/>
      <c r="G31" s="12"/>
      <c r="H31" s="229"/>
      <c r="I31" s="10"/>
      <c r="J31" s="50"/>
      <c r="L31" s="113"/>
    </row>
    <row r="32" spans="2:14" ht="15" customHeight="1" x14ac:dyDescent="0.15">
      <c r="B32" s="23"/>
      <c r="C32" s="8"/>
      <c r="D32" s="8"/>
      <c r="E32" s="288"/>
      <c r="F32" s="8"/>
      <c r="G32" s="13"/>
      <c r="H32" s="13"/>
      <c r="I32" s="9"/>
      <c r="J32" s="141"/>
      <c r="L32" s="113"/>
    </row>
    <row r="33" spans="2:13" ht="15" customHeight="1" x14ac:dyDescent="0.15">
      <c r="B33" s="23"/>
      <c r="C33" s="6"/>
      <c r="D33" s="6"/>
      <c r="E33" s="287"/>
      <c r="F33" s="6"/>
      <c r="G33" s="12"/>
      <c r="H33" s="229"/>
      <c r="I33" s="10"/>
      <c r="J33" s="50"/>
    </row>
    <row r="34" spans="2:13" ht="15" customHeight="1" x14ac:dyDescent="0.15">
      <c r="B34" s="23"/>
      <c r="C34" s="8"/>
      <c r="D34" s="8"/>
      <c r="E34" s="288"/>
      <c r="F34" s="8"/>
      <c r="G34" s="13"/>
      <c r="H34" s="13"/>
      <c r="I34" s="9"/>
      <c r="J34" s="107"/>
    </row>
    <row r="35" spans="2:13" ht="15" customHeight="1" x14ac:dyDescent="0.15">
      <c r="B35" s="23"/>
      <c r="C35" s="6"/>
      <c r="D35" s="6"/>
      <c r="E35" s="287"/>
      <c r="F35" s="6"/>
      <c r="G35" s="12"/>
      <c r="H35" s="229">
        <f ca="1">IF(SUM(M12:N32)=0,0,SUM(N12:N32))</f>
        <v>0</v>
      </c>
      <c r="I35" s="10"/>
      <c r="J35" s="50"/>
    </row>
    <row r="36" spans="2:13" ht="15" customHeight="1" x14ac:dyDescent="0.15">
      <c r="B36" s="23"/>
      <c r="C36" s="8" t="s">
        <v>787</v>
      </c>
      <c r="D36" s="8"/>
      <c r="E36" s="288"/>
      <c r="F36" s="8"/>
      <c r="G36" s="13"/>
      <c r="H36" s="13">
        <f>SUM(M12:M32)</f>
        <v>1444307</v>
      </c>
      <c r="I36" s="9"/>
      <c r="J36" s="107"/>
      <c r="M36" s="649">
        <f>H36</f>
        <v>1444307</v>
      </c>
    </row>
    <row r="37" spans="2:13" ht="15" customHeight="1" x14ac:dyDescent="0.15">
      <c r="B37" s="23"/>
      <c r="C37" s="6"/>
      <c r="D37" s="6"/>
      <c r="E37" s="287"/>
      <c r="F37" s="6"/>
      <c r="G37" s="12"/>
      <c r="H37" s="12"/>
      <c r="I37" s="10"/>
      <c r="J37" s="50"/>
    </row>
    <row r="38" spans="2:13" ht="15" customHeight="1" x14ac:dyDescent="0.15">
      <c r="B38" s="23"/>
      <c r="C38" s="8" t="s">
        <v>788</v>
      </c>
      <c r="D38" s="8"/>
      <c r="E38" s="288"/>
      <c r="F38" s="8"/>
      <c r="G38" s="13"/>
      <c r="H38" s="13">
        <f>M38</f>
        <v>1444000</v>
      </c>
      <c r="I38" s="9"/>
      <c r="J38" s="107"/>
      <c r="M38" s="649">
        <f>TRUNC(M36,-3)</f>
        <v>1444000</v>
      </c>
    </row>
    <row r="39" spans="2:13" ht="15" customHeight="1" x14ac:dyDescent="0.15">
      <c r="B39" s="23"/>
      <c r="C39" s="6"/>
      <c r="D39" s="6"/>
      <c r="E39" s="287"/>
      <c r="F39" s="6"/>
      <c r="G39" s="12"/>
      <c r="H39" s="12"/>
      <c r="I39" s="10"/>
      <c r="J39" s="50"/>
    </row>
    <row r="40" spans="2:13" ht="15" customHeight="1" x14ac:dyDescent="0.15">
      <c r="B40" s="23"/>
      <c r="C40" s="8"/>
      <c r="D40" s="8"/>
      <c r="E40" s="288"/>
      <c r="F40" s="8"/>
      <c r="G40" s="13"/>
      <c r="H40" s="13"/>
      <c r="I40" s="9"/>
      <c r="J40" s="107"/>
    </row>
    <row r="41" spans="2:13" ht="15" customHeight="1" x14ac:dyDescent="0.15">
      <c r="B41" s="23"/>
      <c r="C41" s="6"/>
      <c r="D41" s="6"/>
      <c r="E41" s="287"/>
      <c r="F41" s="6"/>
      <c r="G41" s="12"/>
      <c r="H41" s="12"/>
      <c r="I41" s="10"/>
      <c r="J41" s="50"/>
    </row>
    <row r="42" spans="2:13" ht="15" customHeight="1" x14ac:dyDescent="0.15">
      <c r="B42" s="23"/>
      <c r="C42" s="8"/>
      <c r="D42" s="8"/>
      <c r="E42" s="288"/>
      <c r="F42" s="8"/>
      <c r="G42" s="13"/>
      <c r="H42" s="13"/>
      <c r="I42" s="9"/>
      <c r="J42" s="107"/>
    </row>
    <row r="43" spans="2:13" ht="15" customHeight="1" x14ac:dyDescent="0.15">
      <c r="B43" s="23"/>
      <c r="C43" s="6"/>
      <c r="D43" s="6"/>
      <c r="E43" s="287"/>
      <c r="F43" s="6"/>
      <c r="G43" s="12"/>
      <c r="H43" s="12"/>
      <c r="I43" s="10"/>
      <c r="J43" s="50"/>
    </row>
    <row r="44" spans="2:13" ht="15" customHeight="1" x14ac:dyDescent="0.15">
      <c r="B44" s="23"/>
      <c r="C44" s="8"/>
      <c r="D44" s="8"/>
      <c r="E44" s="288"/>
      <c r="F44" s="8"/>
      <c r="G44" s="13"/>
      <c r="H44" s="13"/>
      <c r="I44" s="9"/>
      <c r="J44" s="107"/>
    </row>
    <row r="45" spans="2:13" ht="15" customHeight="1" x14ac:dyDescent="0.15">
      <c r="B45" s="23"/>
      <c r="C45" s="6"/>
      <c r="D45" s="6"/>
      <c r="E45" s="287"/>
      <c r="F45" s="6"/>
      <c r="G45" s="12"/>
      <c r="H45" s="12"/>
      <c r="I45" s="10"/>
      <c r="J45" s="50"/>
    </row>
    <row r="46" spans="2:13" ht="15" customHeight="1" x14ac:dyDescent="0.15">
      <c r="B46" s="23"/>
      <c r="C46" s="8"/>
      <c r="D46" s="8"/>
      <c r="E46" s="288"/>
      <c r="F46" s="8"/>
      <c r="G46" s="13"/>
      <c r="H46" s="13"/>
      <c r="I46" s="9"/>
      <c r="J46" s="107"/>
    </row>
    <row r="47" spans="2:13" ht="15" customHeight="1" x14ac:dyDescent="0.15">
      <c r="B47" s="23"/>
      <c r="C47" s="6"/>
      <c r="D47" s="6"/>
      <c r="E47" s="287"/>
      <c r="F47" s="6"/>
      <c r="G47" s="12"/>
      <c r="H47" s="12"/>
      <c r="I47" s="10"/>
      <c r="J47" s="50"/>
    </row>
    <row r="48" spans="2:13" ht="15" customHeight="1" x14ac:dyDescent="0.15">
      <c r="B48" s="23"/>
      <c r="C48" s="8"/>
      <c r="D48" s="8"/>
      <c r="E48" s="288"/>
      <c r="F48" s="8"/>
      <c r="G48" s="13"/>
      <c r="H48" s="13"/>
      <c r="I48" s="9"/>
      <c r="J48" s="107"/>
    </row>
    <row r="49" spans="2:10" ht="15" customHeight="1" x14ac:dyDescent="0.15">
      <c r="B49" s="23"/>
      <c r="C49" s="6"/>
      <c r="D49" s="6"/>
      <c r="E49" s="287"/>
      <c r="F49" s="6"/>
      <c r="G49" s="12"/>
      <c r="H49" s="12"/>
      <c r="I49" s="10"/>
      <c r="J49" s="50"/>
    </row>
    <row r="50" spans="2:10" ht="15" customHeight="1" x14ac:dyDescent="0.15">
      <c r="B50" s="23"/>
      <c r="C50" s="8"/>
      <c r="D50" s="8"/>
      <c r="E50" s="288"/>
      <c r="F50" s="8"/>
      <c r="G50" s="13"/>
      <c r="H50" s="13"/>
      <c r="I50" s="9"/>
      <c r="J50" s="107"/>
    </row>
    <row r="51" spans="2:10" ht="15" customHeight="1" x14ac:dyDescent="0.15">
      <c r="B51" s="23"/>
      <c r="C51" s="6"/>
      <c r="D51" s="6"/>
      <c r="E51" s="287"/>
      <c r="F51" s="6"/>
      <c r="G51" s="12"/>
      <c r="H51" s="12"/>
      <c r="I51" s="10"/>
      <c r="J51" s="50"/>
    </row>
    <row r="52" spans="2:10" ht="15" customHeight="1" x14ac:dyDescent="0.15">
      <c r="B52" s="23"/>
      <c r="C52" s="8"/>
      <c r="D52" s="8"/>
      <c r="E52" s="288"/>
      <c r="F52" s="8"/>
      <c r="G52" s="13"/>
      <c r="H52" s="13"/>
      <c r="I52" s="9"/>
      <c r="J52" s="107"/>
    </row>
    <row r="53" spans="2:10" ht="15" customHeight="1" x14ac:dyDescent="0.15">
      <c r="B53" s="23"/>
      <c r="C53" s="6"/>
      <c r="D53" s="6"/>
      <c r="E53" s="287"/>
      <c r="F53" s="6"/>
      <c r="G53" s="12"/>
      <c r="H53" s="12"/>
      <c r="I53" s="10"/>
      <c r="J53" s="50"/>
    </row>
    <row r="54" spans="2:10" ht="15" customHeight="1" x14ac:dyDescent="0.15">
      <c r="B54" s="23"/>
      <c r="C54" s="8"/>
      <c r="D54" s="8"/>
      <c r="E54" s="288"/>
      <c r="F54" s="8"/>
      <c r="G54" s="13"/>
      <c r="H54" s="13"/>
      <c r="I54" s="9"/>
      <c r="J54" s="107"/>
    </row>
    <row r="55" spans="2:10" ht="15" customHeight="1" x14ac:dyDescent="0.15">
      <c r="B55" s="23"/>
      <c r="C55" s="6"/>
      <c r="D55" s="6"/>
      <c r="E55" s="287"/>
      <c r="F55" s="6"/>
      <c r="G55" s="12"/>
      <c r="H55" s="12"/>
      <c r="I55" s="10"/>
      <c r="J55" s="50"/>
    </row>
    <row r="56" spans="2:10" ht="15" customHeight="1" x14ac:dyDescent="0.15">
      <c r="B56" s="23"/>
      <c r="C56" s="8"/>
      <c r="D56" s="8"/>
      <c r="E56" s="288"/>
      <c r="F56" s="8"/>
      <c r="G56" s="13"/>
      <c r="H56" s="13"/>
      <c r="I56" s="9"/>
      <c r="J56" s="107"/>
    </row>
    <row r="57" spans="2:10" ht="15" customHeight="1" x14ac:dyDescent="0.15">
      <c r="B57" s="23"/>
      <c r="C57" s="6"/>
      <c r="D57" s="6"/>
      <c r="E57" s="287"/>
      <c r="F57" s="6"/>
      <c r="G57" s="12"/>
      <c r="H57" s="12"/>
      <c r="I57" s="10"/>
      <c r="J57" s="50"/>
    </row>
    <row r="58" spans="2:10" ht="15" customHeight="1" x14ac:dyDescent="0.15">
      <c r="B58" s="23"/>
      <c r="C58" s="8"/>
      <c r="D58" s="8"/>
      <c r="E58" s="288"/>
      <c r="F58" s="8"/>
      <c r="G58" s="13"/>
      <c r="H58" s="13"/>
      <c r="I58" s="9"/>
      <c r="J58" s="107"/>
    </row>
    <row r="59" spans="2:10" ht="15" customHeight="1" x14ac:dyDescent="0.15">
      <c r="B59" s="23"/>
      <c r="C59" s="6"/>
      <c r="D59" s="6"/>
      <c r="E59" s="287"/>
      <c r="F59" s="6"/>
      <c r="G59" s="12"/>
      <c r="H59" s="12"/>
      <c r="I59" s="10"/>
      <c r="J59" s="50"/>
    </row>
    <row r="60" spans="2:10" ht="15" customHeight="1" x14ac:dyDescent="0.15">
      <c r="B60" s="23"/>
      <c r="C60" s="8"/>
      <c r="D60" s="8"/>
      <c r="E60" s="288"/>
      <c r="F60" s="8"/>
      <c r="G60" s="13"/>
      <c r="H60" s="13"/>
      <c r="I60" s="9"/>
      <c r="J60" s="107"/>
    </row>
    <row r="61" spans="2:10" ht="15" customHeight="1" x14ac:dyDescent="0.15">
      <c r="B61" s="23"/>
      <c r="C61" s="6"/>
      <c r="D61" s="6"/>
      <c r="E61" s="287"/>
      <c r="F61" s="6"/>
      <c r="G61" s="12"/>
      <c r="H61" s="12"/>
      <c r="I61" s="10"/>
      <c r="J61" s="50"/>
    </row>
    <row r="62" spans="2:10" ht="15" customHeight="1" x14ac:dyDescent="0.15">
      <c r="B62" s="23"/>
      <c r="C62" s="8"/>
      <c r="D62" s="8"/>
      <c r="E62" s="288"/>
      <c r="F62" s="8"/>
      <c r="G62" s="13"/>
      <c r="H62" s="13"/>
      <c r="I62" s="9"/>
      <c r="J62" s="107"/>
    </row>
    <row r="63" spans="2:10" ht="15" customHeight="1" x14ac:dyDescent="0.15">
      <c r="B63" s="23"/>
      <c r="C63" s="6"/>
      <c r="D63" s="6"/>
      <c r="E63" s="287"/>
      <c r="F63" s="6"/>
      <c r="G63" s="12"/>
      <c r="H63" s="12"/>
      <c r="I63" s="10"/>
      <c r="J63" s="50"/>
    </row>
    <row r="64" spans="2:10" ht="15" customHeight="1" x14ac:dyDescent="0.15">
      <c r="B64" s="23"/>
      <c r="C64" s="8"/>
      <c r="D64" s="8"/>
      <c r="E64" s="288"/>
      <c r="F64" s="8"/>
      <c r="G64" s="13"/>
      <c r="H64" s="13"/>
      <c r="I64" s="9"/>
      <c r="J64" s="107"/>
    </row>
    <row r="65" spans="2:10" ht="15" customHeight="1" x14ac:dyDescent="0.15">
      <c r="B65" s="23"/>
      <c r="C65" s="6"/>
      <c r="D65" s="6"/>
      <c r="E65" s="287"/>
      <c r="F65" s="6"/>
      <c r="G65" s="12"/>
      <c r="H65" s="12"/>
      <c r="I65" s="10"/>
      <c r="J65" s="50"/>
    </row>
    <row r="66" spans="2:10" ht="15" customHeight="1" x14ac:dyDescent="0.15">
      <c r="B66" s="23"/>
      <c r="C66" s="8"/>
      <c r="D66" s="8"/>
      <c r="E66" s="288"/>
      <c r="F66" s="8"/>
      <c r="G66" s="13"/>
      <c r="H66" s="13"/>
      <c r="I66" s="9"/>
      <c r="J66" s="107"/>
    </row>
    <row r="67" spans="2:10" ht="15" customHeight="1" x14ac:dyDescent="0.15">
      <c r="B67" s="23"/>
      <c r="C67" s="6"/>
      <c r="D67" s="6"/>
      <c r="E67" s="287"/>
      <c r="F67" s="6"/>
      <c r="G67" s="12"/>
      <c r="H67" s="12"/>
      <c r="I67" s="10"/>
      <c r="J67" s="50"/>
    </row>
    <row r="68" spans="2:10" ht="15" customHeight="1" x14ac:dyDescent="0.15">
      <c r="B68" s="23"/>
      <c r="C68" s="8"/>
      <c r="D68" s="8"/>
      <c r="E68" s="288"/>
      <c r="F68" s="8"/>
      <c r="G68" s="13"/>
      <c r="H68" s="13"/>
      <c r="I68" s="9"/>
      <c r="J68" s="107"/>
    </row>
    <row r="69" spans="2:10" ht="15" customHeight="1" x14ac:dyDescent="0.15">
      <c r="B69" s="23"/>
      <c r="C69" s="6"/>
      <c r="D69" s="6"/>
      <c r="E69" s="287"/>
      <c r="F69" s="6"/>
      <c r="G69" s="12"/>
      <c r="H69" s="12"/>
      <c r="I69" s="10"/>
      <c r="J69" s="50"/>
    </row>
    <row r="70" spans="2:10" ht="15" customHeight="1" x14ac:dyDescent="0.15">
      <c r="B70" s="23"/>
      <c r="C70" s="8"/>
      <c r="D70" s="8"/>
      <c r="E70" s="288"/>
      <c r="F70" s="8"/>
      <c r="G70" s="13"/>
      <c r="H70" s="13"/>
      <c r="I70" s="9"/>
      <c r="J70" s="107"/>
    </row>
    <row r="71" spans="2:10" ht="15" customHeight="1" x14ac:dyDescent="0.15">
      <c r="B71" s="23"/>
      <c r="C71" s="6"/>
      <c r="D71" s="6"/>
      <c r="E71" s="287"/>
      <c r="F71" s="6"/>
      <c r="G71" s="12"/>
      <c r="H71" s="12"/>
      <c r="I71" s="10"/>
      <c r="J71" s="50"/>
    </row>
    <row r="72" spans="2:10" ht="15" customHeight="1" thickBot="1" x14ac:dyDescent="0.2">
      <c r="B72" s="28"/>
      <c r="C72" s="29"/>
      <c r="D72" s="29"/>
      <c r="E72" s="289"/>
      <c r="F72" s="29"/>
      <c r="G72" s="31"/>
      <c r="H72" s="31"/>
      <c r="I72" s="30"/>
      <c r="J72" s="55"/>
    </row>
  </sheetData>
  <mergeCells count="2">
    <mergeCell ref="B8:B10"/>
    <mergeCell ref="I8:I10"/>
  </mergeCells>
  <phoneticPr fontId="28"/>
  <pageMargins left="0.70866141732283472" right="0.19685039370078741" top="0.78740157480314965" bottom="0.39370078740157483" header="0" footer="0.19685039370078741"/>
  <pageSetup paperSize="9" scale="78" firstPageNumber="2" orientation="portrait" blackAndWhite="1" useFirstPageNumber="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ransitionEvaluation="1">
    <tabColor rgb="FFFF0000"/>
  </sheetPr>
  <dimension ref="A1:AC144"/>
  <sheetViews>
    <sheetView view="pageBreakPreview" topLeftCell="R1" zoomScaleNormal="90" zoomScaleSheetLayoutView="100" workbookViewId="0">
      <selection activeCell="J6" sqref="J6"/>
    </sheetView>
  </sheetViews>
  <sheetFormatPr defaultRowHeight="13.5" x14ac:dyDescent="0.15"/>
  <cols>
    <col min="1" max="2" width="3.625" customWidth="1"/>
    <col min="3" max="3" width="16.625" customWidth="1"/>
    <col min="4" max="4" width="20.625" customWidth="1"/>
    <col min="5" max="5" width="25.625" customWidth="1"/>
    <col min="6" max="6" width="15.625" customWidth="1"/>
    <col min="7" max="7" width="12.625" customWidth="1"/>
    <col min="8" max="8" width="4.625" customWidth="1"/>
    <col min="9" max="9" width="20.625" customWidth="1"/>
    <col min="10" max="14" width="4.625" customWidth="1"/>
    <col min="15" max="15" width="3.625" customWidth="1"/>
    <col min="16" max="16" width="20.625" customWidth="1"/>
    <col min="17" max="17" width="24.625" customWidth="1"/>
    <col min="18" max="18" width="12.125" customWidth="1"/>
    <col min="19" max="19" width="4.625" customWidth="1"/>
    <col min="20" max="20" width="10.625" customWidth="1"/>
    <col min="21" max="21" width="15.625" customWidth="1"/>
    <col min="22" max="22" width="8.625" customWidth="1"/>
    <col min="23" max="23" width="16.625" customWidth="1"/>
    <col min="25" max="28" width="9.625" customWidth="1"/>
  </cols>
  <sheetData>
    <row r="1" spans="1:29" x14ac:dyDescent="0.15">
      <c r="D1" t="s">
        <v>307</v>
      </c>
      <c r="F1" t="s">
        <v>308</v>
      </c>
    </row>
    <row r="2" spans="1:29" x14ac:dyDescent="0.15">
      <c r="D2" t="s">
        <v>272</v>
      </c>
      <c r="F2" s="224" t="s">
        <v>267</v>
      </c>
    </row>
    <row r="3" spans="1:29" x14ac:dyDescent="0.15">
      <c r="D3" t="s">
        <v>274</v>
      </c>
      <c r="F3" s="224" t="s">
        <v>271</v>
      </c>
    </row>
    <row r="4" spans="1:29" ht="14.25" thickBot="1" x14ac:dyDescent="0.2">
      <c r="C4" t="s">
        <v>214</v>
      </c>
      <c r="D4" t="s">
        <v>273</v>
      </c>
      <c r="F4" s="224" t="s">
        <v>268</v>
      </c>
      <c r="O4" t="s">
        <v>214</v>
      </c>
      <c r="AB4" t="s">
        <v>89</v>
      </c>
    </row>
    <row r="5" spans="1:29" x14ac:dyDescent="0.15">
      <c r="B5" s="682" t="s">
        <v>83</v>
      </c>
      <c r="N5" t="s">
        <v>215</v>
      </c>
      <c r="O5" s="16"/>
      <c r="P5" s="17"/>
      <c r="Q5" s="17"/>
      <c r="R5" s="18"/>
      <c r="S5" s="17"/>
      <c r="T5" s="18"/>
      <c r="U5" s="18"/>
      <c r="V5" s="18"/>
      <c r="W5" s="19"/>
      <c r="Y5" s="682" t="s">
        <v>216</v>
      </c>
      <c r="Z5">
        <f ca="1">SUM(INDIRECT(AC$6))</f>
        <v>0</v>
      </c>
      <c r="AA5">
        <v>1</v>
      </c>
      <c r="AB5" t="s">
        <v>219</v>
      </c>
      <c r="AC5" t="s">
        <v>217</v>
      </c>
    </row>
    <row r="6" spans="1:29" ht="21" customHeight="1" x14ac:dyDescent="0.2">
      <c r="N6" s="284"/>
      <c r="O6" s="457" t="s">
        <v>802</v>
      </c>
      <c r="P6" s="25"/>
      <c r="Q6" s="25"/>
      <c r="R6" s="25"/>
      <c r="S6" s="25"/>
      <c r="T6" s="25"/>
      <c r="U6" s="25"/>
      <c r="V6" s="25"/>
      <c r="W6" s="26"/>
      <c r="Y6" s="682" t="s">
        <v>218</v>
      </c>
      <c r="Z6">
        <f ca="1">SUM(INDIRECT(AC$7))</f>
        <v>28170</v>
      </c>
      <c r="AA6">
        <v>2</v>
      </c>
      <c r="AB6" t="s">
        <v>104</v>
      </c>
      <c r="AC6" t="str">
        <f>"AA10..AA"&amp;FIXED(Z7,0,TRUE)</f>
        <v>AA10..AA30</v>
      </c>
    </row>
    <row r="7" spans="1:29" ht="18.75" x14ac:dyDescent="0.2">
      <c r="C7" s="456" t="s">
        <v>424</v>
      </c>
      <c r="D7" s="101"/>
      <c r="E7" s="101"/>
      <c r="F7" s="101"/>
      <c r="G7" s="101"/>
      <c r="H7" s="101"/>
      <c r="I7" s="101"/>
      <c r="N7" s="285"/>
      <c r="O7" s="283"/>
      <c r="P7" s="20"/>
      <c r="Q7" s="458" t="str">
        <f ca="1">IF(OR(AB8=0,TRUNC(Z5,-3)+TRUNC(Z6,-3)=0),"",TRUNC(Z5,-3))</f>
        <v/>
      </c>
      <c r="R7" s="21"/>
      <c r="S7" s="20"/>
      <c r="T7" s="21"/>
      <c r="U7" s="21"/>
      <c r="V7" s="21"/>
      <c r="W7" s="699" t="str">
        <f>'直工 (矢田)'!J6</f>
        <v>補助</v>
      </c>
      <c r="Y7" s="682" t="s">
        <v>221</v>
      </c>
      <c r="Z7" s="529">
        <v>30</v>
      </c>
      <c r="AA7">
        <v>3</v>
      </c>
      <c r="AB7" t="s">
        <v>230</v>
      </c>
      <c r="AC7" t="str">
        <f>"Y10..Y"&amp;FIXED(Z7,0,TRUE)</f>
        <v>Y10..Y30</v>
      </c>
    </row>
    <row r="8" spans="1:29" ht="18.75" customHeight="1" thickBot="1" x14ac:dyDescent="0.25">
      <c r="A8" t="b">
        <f>SUM(F13:F73)&gt;0</f>
        <v>1</v>
      </c>
      <c r="B8">
        <f ca="1">SUM(INDIRECT(AC8))</f>
        <v>1</v>
      </c>
      <c r="I8" s="111" t="str">
        <f ca="1">"( "&amp;FIXED(A8,0)&amp;" ／ "&amp;FIXED(B$8,0)&amp;" )"</f>
        <v>( 1 ／ 1 )</v>
      </c>
      <c r="N8" s="285"/>
      <c r="O8" s="283"/>
      <c r="P8" s="20"/>
      <c r="Q8" s="459">
        <f ca="1">U31</f>
        <v>28000</v>
      </c>
      <c r="R8" s="21"/>
      <c r="S8" s="20"/>
      <c r="T8" s="21"/>
      <c r="U8" s="21"/>
      <c r="V8" s="21"/>
      <c r="W8" s="685" t="str">
        <f>'直工 (矢田)'!J7</f>
        <v>矢田地区中継ポンプ施設</v>
      </c>
      <c r="AB8">
        <f>鏡!H2-1</f>
        <v>0</v>
      </c>
      <c r="AC8" t="str">
        <f>"A5..A"&amp;FIXED(Z7,0,TRUE)</f>
        <v>A5..A30</v>
      </c>
    </row>
    <row r="9" spans="1:29" x14ac:dyDescent="0.15">
      <c r="C9" s="16"/>
      <c r="D9" s="102"/>
      <c r="E9" s="102"/>
      <c r="F9" s="18"/>
      <c r="G9" s="102"/>
      <c r="H9" s="102"/>
      <c r="I9" s="48"/>
      <c r="O9" s="756" t="s">
        <v>258</v>
      </c>
      <c r="P9" s="4"/>
      <c r="Q9" s="4"/>
      <c r="R9" s="5"/>
      <c r="S9" s="4"/>
      <c r="T9" s="648"/>
      <c r="U9" s="648"/>
      <c r="V9" s="755" t="s">
        <v>257</v>
      </c>
      <c r="W9" s="105"/>
    </row>
    <row r="10" spans="1:29" x14ac:dyDescent="0.15">
      <c r="C10" s="24" t="s">
        <v>222</v>
      </c>
      <c r="D10" s="6" t="s">
        <v>223</v>
      </c>
      <c r="E10" s="7" t="s">
        <v>224</v>
      </c>
      <c r="F10" s="34"/>
      <c r="G10" s="6" t="s">
        <v>105</v>
      </c>
      <c r="H10" s="6" t="s">
        <v>92</v>
      </c>
      <c r="I10" s="69" t="s">
        <v>225</v>
      </c>
      <c r="K10" t="s">
        <v>260</v>
      </c>
      <c r="L10" t="s">
        <v>220</v>
      </c>
      <c r="O10" s="757"/>
      <c r="P10" s="6" t="s">
        <v>89</v>
      </c>
      <c r="Q10" s="6" t="s">
        <v>90</v>
      </c>
      <c r="R10" s="6" t="s">
        <v>91</v>
      </c>
      <c r="S10" s="6" t="s">
        <v>92</v>
      </c>
      <c r="T10" s="6" t="s">
        <v>93</v>
      </c>
      <c r="U10" s="6" t="s">
        <v>94</v>
      </c>
      <c r="V10" s="749"/>
      <c r="W10" s="106" t="s">
        <v>226</v>
      </c>
      <c r="Y10" t="str">
        <f>IF(AB8=0,"当初","出来高")</f>
        <v>当初</v>
      </c>
      <c r="AA10" t="s">
        <v>216</v>
      </c>
    </row>
    <row r="11" spans="1:29" ht="14.25" thickBot="1" x14ac:dyDescent="0.2">
      <c r="C11" s="71"/>
      <c r="D11" s="40"/>
      <c r="E11" s="40"/>
      <c r="F11" s="36"/>
      <c r="G11" s="40"/>
      <c r="H11" s="40"/>
      <c r="I11" s="52"/>
      <c r="K11" s="1" t="s">
        <v>259</v>
      </c>
      <c r="O11" s="758"/>
      <c r="P11" s="39"/>
      <c r="Q11" s="39"/>
      <c r="R11" s="40"/>
      <c r="S11" s="39"/>
      <c r="T11" s="56" t="s">
        <v>96</v>
      </c>
      <c r="U11" s="56" t="s">
        <v>96</v>
      </c>
      <c r="V11" s="750"/>
      <c r="W11" s="52"/>
    </row>
    <row r="12" spans="1:29" ht="15" customHeight="1" thickTop="1" x14ac:dyDescent="0.15">
      <c r="C12" s="182"/>
      <c r="D12" s="210"/>
      <c r="E12" s="184"/>
      <c r="F12" s="225"/>
      <c r="G12" s="297" t="str">
        <f ca="1">IF(OR(AB$8=0,L12="b"),"",IF(L12="l",0,"("&amp;FIXED(-F12,K13,0)&amp;M12))</f>
        <v/>
      </c>
      <c r="H12" s="183"/>
      <c r="I12" s="185"/>
      <c r="L12" t="str">
        <f t="shared" ref="L12:L73" ca="1" si="0">CELL("type",F12)</f>
        <v>b</v>
      </c>
      <c r="M12" t="str">
        <f>")"&amp;REPT(" ",2-K13)&amp;IF(K13=0," ","")</f>
        <v xml:space="preserve">)   </v>
      </c>
      <c r="O12" s="253"/>
      <c r="P12" s="207">
        <f>D12</f>
        <v>0</v>
      </c>
      <c r="Q12" s="207">
        <f>E12</f>
        <v>0</v>
      </c>
      <c r="R12" s="300" t="str">
        <f t="shared" ref="R12:R27" ca="1" si="1">G12</f>
        <v/>
      </c>
      <c r="S12" s="304"/>
      <c r="T12" s="144"/>
      <c r="U12" s="206">
        <f ca="1">IF(OR(AB$8=0,SUM(Y13:AB13)=0),1,IF(L12="l","",SUM(AA13:AB13)))</f>
        <v>1</v>
      </c>
      <c r="V12" s="147"/>
      <c r="W12" s="50"/>
    </row>
    <row r="13" spans="1:29" ht="15" customHeight="1" x14ac:dyDescent="0.15">
      <c r="C13" s="186" t="s">
        <v>50</v>
      </c>
      <c r="D13" s="205" t="s">
        <v>40</v>
      </c>
      <c r="E13" s="188" t="s">
        <v>778</v>
      </c>
      <c r="F13" s="226">
        <v>1</v>
      </c>
      <c r="G13" s="296" t="str">
        <f ca="1">IF(L13="b","",IF(L13="l",0,FIXED(F13,K13,0)&amp;M13))</f>
        <v xml:space="preserve">1    </v>
      </c>
      <c r="H13" s="187" t="s">
        <v>773</v>
      </c>
      <c r="I13" s="189"/>
      <c r="K13" s="215"/>
      <c r="L13" t="str">
        <f t="shared" ca="1" si="0"/>
        <v>v</v>
      </c>
      <c r="M13" t="str">
        <f>REPT(" ",3-K13)&amp;IF(K13=0," ","")</f>
        <v xml:space="preserve">    </v>
      </c>
      <c r="O13" s="194"/>
      <c r="P13" s="208" t="str">
        <f>IF(ISNUMBER(D13),LOOKUP(D13,$AA$5:$AB$7),D13)</f>
        <v>電気通信技術者</v>
      </c>
      <c r="Q13" s="208" t="str">
        <f t="shared" ref="Q13:Q30" si="2">E13</f>
        <v>調　　整</v>
      </c>
      <c r="R13" s="301" t="str">
        <f t="shared" ca="1" si="1"/>
        <v xml:space="preserve">1    </v>
      </c>
      <c r="S13" s="305" t="str">
        <f>H13</f>
        <v>式</v>
      </c>
      <c r="T13" s="145">
        <v>28170</v>
      </c>
      <c r="U13" s="216">
        <f ca="1">IF(L13="l","",IF(D13+F13&gt;0,SUM(Y13:Z13),-1))</f>
        <v>28170</v>
      </c>
      <c r="V13" s="148"/>
      <c r="W13" s="687" t="s">
        <v>815</v>
      </c>
      <c r="Y13" s="114">
        <f>IF(D13&gt;0,0,TRUNC(F13*T13))</f>
        <v>28170</v>
      </c>
      <c r="AA13">
        <f ca="1">IF(OR(AB$8=0,L12="l",D13&gt;0,U13=-1),0,IF(L12="b",-U13,TRUNC(F12*T13)))</f>
        <v>0</v>
      </c>
    </row>
    <row r="14" spans="1:29" ht="15" customHeight="1" x14ac:dyDescent="0.15">
      <c r="C14" s="182"/>
      <c r="D14" s="210"/>
      <c r="E14" s="184"/>
      <c r="F14" s="225"/>
      <c r="G14" s="297" t="str">
        <f ca="1">IF(OR(AB$8=0,L14="b"),"",IF(L14="l",0,"("&amp;FIXED(-F14,K15,0)&amp;M14))</f>
        <v/>
      </c>
      <c r="H14" s="183"/>
      <c r="I14" s="185"/>
      <c r="L14" t="str">
        <f t="shared" ca="1" si="0"/>
        <v>b</v>
      </c>
      <c r="M14" t="str">
        <f>")"&amp;REPT(" ",2-K15)&amp;IF(K15=0," ","")</f>
        <v xml:space="preserve">)   </v>
      </c>
      <c r="O14" s="194"/>
      <c r="P14" s="207"/>
      <c r="Q14" s="207"/>
      <c r="R14" s="300"/>
      <c r="S14" s="304"/>
      <c r="T14" s="144"/>
      <c r="U14" s="206"/>
      <c r="V14" s="147"/>
      <c r="W14" s="50"/>
    </row>
    <row r="15" spans="1:29" ht="15" customHeight="1" x14ac:dyDescent="0.15">
      <c r="C15" s="186"/>
      <c r="D15" s="205" t="s">
        <v>41</v>
      </c>
      <c r="E15" s="188" t="s">
        <v>778</v>
      </c>
      <c r="F15" s="226">
        <v>1</v>
      </c>
      <c r="G15" s="296" t="str">
        <f ca="1">IF(L15="b","",IF(L15="l",0,FIXED(F15,K15,0)&amp;M15))</f>
        <v xml:space="preserve">1    </v>
      </c>
      <c r="H15" s="187" t="s">
        <v>773</v>
      </c>
      <c r="I15" s="189"/>
      <c r="K15" s="215"/>
      <c r="L15" t="str">
        <f t="shared" ca="1" si="0"/>
        <v>v</v>
      </c>
      <c r="M15" t="str">
        <f>REPT(" ",3-K15)&amp;IF(K15=0," ","")</f>
        <v xml:space="preserve">    </v>
      </c>
      <c r="O15" s="194"/>
      <c r="P15" s="208"/>
      <c r="Q15" s="208"/>
      <c r="R15" s="301"/>
      <c r="S15" s="305"/>
      <c r="T15" s="145"/>
      <c r="U15" s="216"/>
      <c r="V15" s="148"/>
      <c r="W15" s="660"/>
      <c r="Y15" s="114">
        <f>IF(D15&gt;0,0,TRUNC(F15*T15))</f>
        <v>0</v>
      </c>
      <c r="Z15" t="b">
        <f>IF($D15=1,SUM(Y$13:Y13)-SUM(Z$13:Z13),IF($D15=2,$Z$6,IF($D15=3,TRUNC($Z$6,-3))))</f>
        <v>0</v>
      </c>
      <c r="AA15">
        <f ca="1">IF(OR(AB$8=0,L14="l",D15&gt;0,U15=-1),0,IF(L14="b",-U15,TRUNC(F14*T15)))</f>
        <v>0</v>
      </c>
      <c r="AB15" t="b">
        <f>IF($D15=1,SUM(AA$13:AA13)-SUM(AB$13:AB13),IF($D15=2,$Z$5,IF($D15=3,TRUNC($Z$5,-3))))</f>
        <v>0</v>
      </c>
    </row>
    <row r="16" spans="1:29" ht="15" customHeight="1" x14ac:dyDescent="0.15">
      <c r="C16" s="182"/>
      <c r="D16" s="210"/>
      <c r="E16" s="184"/>
      <c r="F16" s="225"/>
      <c r="G16" s="297" t="str">
        <f ca="1">IF(OR(AB$8=0,L16="b"),"",IF(L16="l",0,"("&amp;FIXED(-F16,K17,0)&amp;M16))</f>
        <v/>
      </c>
      <c r="H16" s="183"/>
      <c r="I16" s="185"/>
      <c r="L16" t="str">
        <f t="shared" ca="1" si="0"/>
        <v>b</v>
      </c>
      <c r="M16" t="str">
        <f>")"&amp;REPT(" ",2-K17)&amp;IF(K17=0," ","")</f>
        <v xml:space="preserve">) </v>
      </c>
      <c r="O16" s="194"/>
      <c r="P16" s="207">
        <f>D16</f>
        <v>0</v>
      </c>
      <c r="Q16" s="207">
        <f t="shared" si="2"/>
        <v>0</v>
      </c>
      <c r="R16" s="300" t="str">
        <f t="shared" ca="1" si="1"/>
        <v/>
      </c>
      <c r="S16" s="304"/>
      <c r="T16" s="144"/>
      <c r="U16" s="206">
        <f ca="1">IF(OR(AB$8=0,SUM(Y17:AB17)=0),1,IF(L16="l","",SUM(AA17:AB17)))</f>
        <v>1</v>
      </c>
      <c r="V16" s="147"/>
      <c r="W16" s="50"/>
    </row>
    <row r="17" spans="3:28" ht="15" customHeight="1" x14ac:dyDescent="0.15">
      <c r="C17" s="186"/>
      <c r="D17" s="205"/>
      <c r="E17" s="188"/>
      <c r="F17" s="226"/>
      <c r="G17" s="296" t="str">
        <f ca="1">IF(L17="b","",IF(L17="l",0,FIXED(F17,K17,0)&amp;M17))</f>
        <v/>
      </c>
      <c r="H17" s="187"/>
      <c r="I17" s="189"/>
      <c r="K17" s="215">
        <v>1</v>
      </c>
      <c r="L17" t="str">
        <f t="shared" ca="1" si="0"/>
        <v>b</v>
      </c>
      <c r="M17" t="str">
        <f>REPT(" ",3-K17)&amp;IF(K17=0," ","")</f>
        <v xml:space="preserve">  </v>
      </c>
      <c r="O17" s="194"/>
      <c r="P17" s="208">
        <f>IF(ISNUMBER(D17),LOOKUP(D17,$AA$5:$AB$7),D17)</f>
        <v>0</v>
      </c>
      <c r="Q17" s="208">
        <f t="shared" si="2"/>
        <v>0</v>
      </c>
      <c r="R17" s="301" t="str">
        <f t="shared" ca="1" si="1"/>
        <v/>
      </c>
      <c r="S17" s="305">
        <f>H17</f>
        <v>0</v>
      </c>
      <c r="T17" s="145"/>
      <c r="U17" s="216">
        <f ca="1">IF(L17="l","",IF(D17+F17&gt;0,SUM(Y17:Z17),-1))</f>
        <v>-1</v>
      </c>
      <c r="V17" s="148"/>
      <c r="W17" s="108"/>
      <c r="Y17" s="114">
        <f>IF(D17&gt;0,0,TRUNC(F17*T17))</f>
        <v>0</v>
      </c>
      <c r="Z17" t="b">
        <f>IF($D17=1,SUM(Y$13:Y15)-SUM(Z$13:Z15),IF($D17=2,$Z$6,IF($D17=3,TRUNC($Z$6,-3))))</f>
        <v>0</v>
      </c>
      <c r="AA17">
        <f ca="1">IF(OR(AB$8=0,L16="l",D17&gt;0,U17=-1),0,IF(L16="b",-U17,TRUNC(F16*T17)))</f>
        <v>0</v>
      </c>
      <c r="AB17" t="b">
        <f>IF($D17=1,SUM(AA$13:AA15)-SUM(AB$13:AB15),IF($D17=2,$Z$5,IF($D17=3,TRUNC($Z$5,-3))))</f>
        <v>0</v>
      </c>
    </row>
    <row r="18" spans="3:28" ht="15" customHeight="1" x14ac:dyDescent="0.15">
      <c r="C18" s="182"/>
      <c r="D18" s="210"/>
      <c r="E18" s="184"/>
      <c r="F18" s="225"/>
      <c r="G18" s="297" t="str">
        <f ca="1">IF(OR(AB$8=0,L18="b"),"",IF(L18="l",0,"("&amp;FIXED(-F18,K19,0)&amp;M18))</f>
        <v/>
      </c>
      <c r="H18" s="183"/>
      <c r="I18" s="185"/>
      <c r="L18" t="str">
        <f t="shared" ca="1" si="0"/>
        <v>b</v>
      </c>
      <c r="M18" t="str">
        <f>")"&amp;REPT(" ",2-K19)&amp;IF(K19=0," ","")</f>
        <v xml:space="preserve">) </v>
      </c>
      <c r="O18" s="194"/>
      <c r="P18" s="207">
        <f>D18</f>
        <v>0</v>
      </c>
      <c r="Q18" s="207">
        <f t="shared" si="2"/>
        <v>0</v>
      </c>
      <c r="R18" s="300" t="str">
        <f t="shared" ca="1" si="1"/>
        <v/>
      </c>
      <c r="S18" s="304"/>
      <c r="T18" s="144"/>
      <c r="U18" s="206">
        <f ca="1">IF(OR(AB$8=0,SUM(Y19:AB19)=0),1,IF(L18="l","",SUM(AA19:AB19)))</f>
        <v>1</v>
      </c>
      <c r="V18" s="147"/>
      <c r="W18" s="50"/>
    </row>
    <row r="19" spans="3:28" ht="15" customHeight="1" x14ac:dyDescent="0.15">
      <c r="C19" s="186"/>
      <c r="D19" s="205"/>
      <c r="E19" s="188"/>
      <c r="F19" s="226"/>
      <c r="G19" s="296" t="str">
        <f ca="1">IF(L19="b","",IF(L19="l",0,FIXED(F19,K19,0)&amp;M19))</f>
        <v/>
      </c>
      <c r="H19" s="187"/>
      <c r="I19" s="189"/>
      <c r="K19" s="215">
        <v>1</v>
      </c>
      <c r="L19" t="str">
        <f t="shared" ca="1" si="0"/>
        <v>b</v>
      </c>
      <c r="M19" t="str">
        <f>REPT(" ",3-K19)&amp;IF(K19=0," ","")</f>
        <v xml:space="preserve">  </v>
      </c>
      <c r="O19" s="194"/>
      <c r="P19" s="208">
        <f>IF(ISNUMBER(D19),LOOKUP(D19,$AA$5:$AB$7),D19)</f>
        <v>0</v>
      </c>
      <c r="Q19" s="208">
        <f t="shared" si="2"/>
        <v>0</v>
      </c>
      <c r="R19" s="301" t="str">
        <f t="shared" ca="1" si="1"/>
        <v/>
      </c>
      <c r="S19" s="305">
        <f>H19</f>
        <v>0</v>
      </c>
      <c r="T19" s="145"/>
      <c r="U19" s="216">
        <f ca="1">IF(L19="l","",IF(D19+F19&gt;0,SUM(Y19:Z19),-1))</f>
        <v>-1</v>
      </c>
      <c r="V19" s="148"/>
      <c r="W19" s="107"/>
      <c r="Y19" s="114">
        <f>IF(D19&gt;0,0,TRUNC(F19*T19))</f>
        <v>0</v>
      </c>
      <c r="Z19" t="b">
        <f>IF($D19=1,SUM(Y$13:Y17)-SUM(Z$13:Z17),IF($D19=2,$Z$6,IF($D19=3,TRUNC($Z$6,-3))))</f>
        <v>0</v>
      </c>
      <c r="AA19">
        <f ca="1">IF(OR(AB$8=0,L18="l",D19&gt;0,U19=-1),0,IF(L18="b",-U19,TRUNC(F18*T19)))</f>
        <v>0</v>
      </c>
      <c r="AB19" t="b">
        <f>IF($D19=1,SUM(AA$13:AA17)-SUM(AB$13:AB17),IF($D19=2,$Z$5,IF($D19=3,TRUNC($Z$5,-3))))</f>
        <v>0</v>
      </c>
    </row>
    <row r="20" spans="3:28" ht="15" customHeight="1" x14ac:dyDescent="0.15">
      <c r="C20" s="182"/>
      <c r="D20" s="210"/>
      <c r="E20" s="184"/>
      <c r="F20" s="225"/>
      <c r="G20" s="297" t="str">
        <f ca="1">IF(OR(AB$8=0,L20="b"),"",IF(L20="l",0,"("&amp;FIXED(-F20,K21,0)&amp;M20))</f>
        <v/>
      </c>
      <c r="H20" s="183"/>
      <c r="I20" s="185"/>
      <c r="L20" t="str">
        <f t="shared" ca="1" si="0"/>
        <v>b</v>
      </c>
      <c r="M20" t="str">
        <f>")"&amp;REPT(" ",2-K21)&amp;IF(K21=0," ","")</f>
        <v xml:space="preserve">) </v>
      </c>
      <c r="O20" s="194"/>
      <c r="P20" s="207">
        <f>D20</f>
        <v>0</v>
      </c>
      <c r="Q20" s="207">
        <f t="shared" si="2"/>
        <v>0</v>
      </c>
      <c r="R20" s="300" t="str">
        <f t="shared" ca="1" si="1"/>
        <v/>
      </c>
      <c r="S20" s="304"/>
      <c r="T20" s="144"/>
      <c r="U20" s="206">
        <f ca="1">IF(OR(AB$8=0,SUM(Y21:AB21)=0),1,IF(L20="l","",SUM(AA21:AB21)))</f>
        <v>1</v>
      </c>
      <c r="V20" s="147"/>
      <c r="W20" s="50"/>
    </row>
    <row r="21" spans="3:28" ht="15" customHeight="1" x14ac:dyDescent="0.15">
      <c r="C21" s="186"/>
      <c r="D21" s="205"/>
      <c r="E21" s="188"/>
      <c r="F21" s="226"/>
      <c r="G21" s="296" t="str">
        <f ca="1">IF(L21="b","",IF(L21="l",0,FIXED(F21,K21,0)&amp;M21))</f>
        <v/>
      </c>
      <c r="H21" s="187"/>
      <c r="I21" s="189"/>
      <c r="K21" s="215">
        <v>1</v>
      </c>
      <c r="L21" t="str">
        <f t="shared" ca="1" si="0"/>
        <v>b</v>
      </c>
      <c r="M21" t="str">
        <f>REPT(" ",3-K21)&amp;IF(K21=0," ","")</f>
        <v xml:space="preserve">  </v>
      </c>
      <c r="O21" s="194"/>
      <c r="P21" s="208">
        <f>IF(ISNUMBER(D21),LOOKUP(D21,$AA$5:$AB$7),D21)</f>
        <v>0</v>
      </c>
      <c r="Q21" s="208">
        <f t="shared" si="2"/>
        <v>0</v>
      </c>
      <c r="R21" s="301" t="str">
        <f t="shared" ca="1" si="1"/>
        <v/>
      </c>
      <c r="S21" s="305">
        <f>H21</f>
        <v>0</v>
      </c>
      <c r="T21" s="145"/>
      <c r="U21" s="216">
        <f ca="1">IF(L21="l","",IF(D21+F21&gt;0,SUM(Y21:Z21),-1))</f>
        <v>-1</v>
      </c>
      <c r="V21" s="148"/>
      <c r="W21" s="547"/>
      <c r="Y21" s="114">
        <f>IF(D21&gt;0,0,TRUNC(F21*T21))</f>
        <v>0</v>
      </c>
      <c r="Z21" t="b">
        <f>IF($D21=1,SUM(Y$13:Y19)-SUM(Z$13:Z19),IF($D21=2,$Z$6,IF($D21=3,TRUNC($Z$6,-3))))</f>
        <v>0</v>
      </c>
      <c r="AA21">
        <f ca="1">IF(OR(AB$8=0,L20="l",D21&gt;0,U21=-1),0,IF(L20="b",-U21,TRUNC(F20*T21)))</f>
        <v>0</v>
      </c>
      <c r="AB21" t="b">
        <f>IF($D21=1,SUM(AA$13:AA19)-SUM(AB$13:AB19),IF($D21=2,$Z$5,IF($D21=3,TRUNC($Z$5,-3))))</f>
        <v>0</v>
      </c>
    </row>
    <row r="22" spans="3:28" ht="15" customHeight="1" x14ac:dyDescent="0.15">
      <c r="C22" s="182"/>
      <c r="D22" s="210"/>
      <c r="E22" s="184"/>
      <c r="F22" s="225"/>
      <c r="G22" s="297" t="str">
        <f ca="1">IF(OR(AB$8=0,L22="b"),"",IF(L22="l",0,"("&amp;FIXED(-F22,K23,0)&amp;M22))</f>
        <v/>
      </c>
      <c r="H22" s="183"/>
      <c r="I22" s="185"/>
      <c r="L22" t="str">
        <f t="shared" ca="1" si="0"/>
        <v>b</v>
      </c>
      <c r="M22" t="str">
        <f>")"&amp;REPT(" ",2-K23)&amp;IF(K23=0," ","")</f>
        <v xml:space="preserve">) </v>
      </c>
      <c r="O22" s="194"/>
      <c r="P22" s="207">
        <f>D22</f>
        <v>0</v>
      </c>
      <c r="Q22" s="207">
        <f t="shared" si="2"/>
        <v>0</v>
      </c>
      <c r="R22" s="300" t="str">
        <f t="shared" ca="1" si="1"/>
        <v/>
      </c>
      <c r="S22" s="304"/>
      <c r="T22" s="144"/>
      <c r="U22" s="206">
        <f ca="1">IF(OR(AB$8=0,SUM(Y23:AB23)=0),1,IF(L22="l","",SUM(AA23:AB23)))</f>
        <v>1</v>
      </c>
      <c r="V22" s="147"/>
      <c r="W22" s="50"/>
    </row>
    <row r="23" spans="3:28" ht="15" customHeight="1" x14ac:dyDescent="0.15">
      <c r="C23" s="186"/>
      <c r="D23" s="205"/>
      <c r="E23" s="188"/>
      <c r="F23" s="226"/>
      <c r="G23" s="296" t="str">
        <f ca="1">IF(L23="b","",IF(L23="l",0,FIXED(F23,K23,0)&amp;M23))</f>
        <v/>
      </c>
      <c r="H23" s="187"/>
      <c r="I23" s="189"/>
      <c r="K23" s="215">
        <v>1</v>
      </c>
      <c r="L23" t="str">
        <f t="shared" ca="1" si="0"/>
        <v>b</v>
      </c>
      <c r="M23" t="str">
        <f>REPT(" ",3-K23)&amp;IF(K23=0," ","")</f>
        <v xml:space="preserve">  </v>
      </c>
      <c r="O23" s="194"/>
      <c r="P23" s="208">
        <f>IF(ISNUMBER(D23),LOOKUP(D23,$AA$5:$AB$7),D23)</f>
        <v>0</v>
      </c>
      <c r="Q23" s="208">
        <f t="shared" si="2"/>
        <v>0</v>
      </c>
      <c r="R23" s="301" t="str">
        <f t="shared" ca="1" si="1"/>
        <v/>
      </c>
      <c r="S23" s="305">
        <f>H23</f>
        <v>0</v>
      </c>
      <c r="T23" s="145"/>
      <c r="U23" s="216">
        <f ca="1">IF(L23="l","",IF(D23+F23&gt;0,SUM(Y23:Z23),-1))</f>
        <v>-1</v>
      </c>
      <c r="V23" s="148"/>
      <c r="W23" s="547"/>
      <c r="Y23" s="114">
        <f>IF(D23&gt;0,0,TRUNC(F23*T23))</f>
        <v>0</v>
      </c>
      <c r="Z23" t="b">
        <f>IF($D23=1,SUM(Y$13:Y21)-SUM(Z$13:Z21),IF($D23=2,$Z$6,IF($D23=3,TRUNC($Z$6,-3))))</f>
        <v>0</v>
      </c>
      <c r="AA23">
        <f ca="1">IF(OR(AB$8=0,L22="l",D23&gt;0,U23=-1),0,IF(L22="b",-U23,TRUNC(F22*T23)))</f>
        <v>0</v>
      </c>
      <c r="AB23" t="b">
        <f>IF($D23=1,SUM(AA$13:AA21)-SUM(AB$13:AB21),IF($D23=2,$Z$5,IF($D23=3,TRUNC($Z$5,-3))))</f>
        <v>0</v>
      </c>
    </row>
    <row r="24" spans="3:28" ht="15" customHeight="1" x14ac:dyDescent="0.15">
      <c r="C24" s="182"/>
      <c r="D24" s="210"/>
      <c r="E24" s="184"/>
      <c r="F24" s="225"/>
      <c r="G24" s="297" t="str">
        <f ca="1">IF(OR(AB$8=0,L24="b"),"",IF(L24="l",0,"("&amp;FIXED(-F24,K25,0)&amp;M24))</f>
        <v/>
      </c>
      <c r="H24" s="183"/>
      <c r="I24" s="185"/>
      <c r="L24" t="str">
        <f t="shared" ca="1" si="0"/>
        <v>b</v>
      </c>
      <c r="M24" t="str">
        <f>")"&amp;REPT(" ",2-K25)&amp;IF(K25=0," ","")</f>
        <v xml:space="preserve">)   </v>
      </c>
      <c r="O24" s="194"/>
      <c r="P24" s="207">
        <f>D24</f>
        <v>0</v>
      </c>
      <c r="Q24" s="207">
        <f t="shared" si="2"/>
        <v>0</v>
      </c>
      <c r="R24" s="300" t="str">
        <f t="shared" ca="1" si="1"/>
        <v/>
      </c>
      <c r="S24" s="304"/>
      <c r="T24" s="144"/>
      <c r="U24" s="206">
        <f ca="1">IF(OR(AB$8=0,SUM(Y25:AB25)=0),1,IF(L24="l","",SUM(AA25:AB25)))</f>
        <v>1</v>
      </c>
      <c r="V24" s="372"/>
      <c r="W24" s="50"/>
    </row>
    <row r="25" spans="3:28" ht="15" customHeight="1" x14ac:dyDescent="0.15">
      <c r="C25" s="186"/>
      <c r="D25" s="205"/>
      <c r="E25" s="188"/>
      <c r="F25" s="226"/>
      <c r="G25" s="296" t="str">
        <f ca="1">IF(L25="b","",IF(L25="l",0,FIXED(F25,K25,0)&amp;M25))</f>
        <v/>
      </c>
      <c r="H25" s="187"/>
      <c r="I25" s="189"/>
      <c r="K25" s="215"/>
      <c r="L25" t="str">
        <f t="shared" ca="1" si="0"/>
        <v>b</v>
      </c>
      <c r="M25" t="str">
        <f>REPT(" ",3-K25)&amp;IF(K25=0," ","")</f>
        <v xml:space="preserve">    </v>
      </c>
      <c r="O25" s="194"/>
      <c r="P25" s="208">
        <f>IF(ISNUMBER(D25),LOOKUP(D25,$AA$5:$AB$7),D25)</f>
        <v>0</v>
      </c>
      <c r="Q25" s="208">
        <f t="shared" si="2"/>
        <v>0</v>
      </c>
      <c r="R25" s="301" t="str">
        <f t="shared" ca="1" si="1"/>
        <v/>
      </c>
      <c r="S25" s="305">
        <f>H25</f>
        <v>0</v>
      </c>
      <c r="T25" s="145"/>
      <c r="U25" s="216">
        <f ca="1">IF(L25="l","",IF(D25+F25&gt;0,SUM(Y25:Z25),-1))</f>
        <v>-1</v>
      </c>
      <c r="V25" s="373"/>
      <c r="W25" s="107"/>
      <c r="Y25" s="114">
        <f>IF(D25&gt;0,0,TRUNC(F25*T25))</f>
        <v>0</v>
      </c>
      <c r="Z25" t="b">
        <f>IF($D25=1,SUM(Y$13:Y23)-SUM(Z$13:Z23),IF($D25=2,$Z$6,IF($D25=3,TRUNC($Z$6,-3))))</f>
        <v>0</v>
      </c>
      <c r="AA25">
        <f ca="1">IF(OR(AB$8=0,L24="l",D25&gt;0,U25=-1),0,IF(L24="b",-U25,TRUNC(F24*T25)))</f>
        <v>0</v>
      </c>
      <c r="AB25" t="b">
        <f>IF($D25=1,SUM(AA$13:AA23)-SUM(AB$13:AB23),IF($D25=2,$Z$5,IF($D25=3,TRUNC($Z$5,-3))))</f>
        <v>0</v>
      </c>
    </row>
    <row r="26" spans="3:28" ht="15" customHeight="1" x14ac:dyDescent="0.15">
      <c r="C26" s="182"/>
      <c r="D26" s="210"/>
      <c r="E26" s="184"/>
      <c r="F26" s="225"/>
      <c r="G26" s="297" t="str">
        <f ca="1">IF(OR(AB$8=0,L26="b"),"",IF(L26="l",0,"("&amp;FIXED(-F26,K27,0)&amp;M26))</f>
        <v/>
      </c>
      <c r="H26" s="183"/>
      <c r="I26" s="185"/>
      <c r="L26" t="str">
        <f t="shared" ca="1" si="0"/>
        <v>b</v>
      </c>
      <c r="M26" t="str">
        <f>")"&amp;REPT(" ",2-K27)&amp;IF(K27=0," ","")</f>
        <v xml:space="preserve">)   </v>
      </c>
      <c r="O26" s="194"/>
      <c r="P26" s="207">
        <f>D26</f>
        <v>0</v>
      </c>
      <c r="Q26" s="207">
        <f t="shared" si="2"/>
        <v>0</v>
      </c>
      <c r="R26" s="300" t="str">
        <f t="shared" ca="1" si="1"/>
        <v/>
      </c>
      <c r="S26" s="304"/>
      <c r="T26" s="144"/>
      <c r="U26" s="206">
        <f ca="1">IF(OR(AB$8=0,SUM(Y27:AB27)=0),1,IF(L26="l","",SUM(AA27:AB27)))</f>
        <v>1</v>
      </c>
      <c r="V26" s="372"/>
      <c r="W26" s="50"/>
    </row>
    <row r="27" spans="3:28" ht="15" customHeight="1" x14ac:dyDescent="0.15">
      <c r="C27" s="186"/>
      <c r="D27" s="205"/>
      <c r="E27" s="188"/>
      <c r="F27" s="226"/>
      <c r="G27" s="296" t="str">
        <f ca="1">IF(L27="b","",IF(L27="l",0,FIXED(F27,K27,0)&amp;M27))</f>
        <v/>
      </c>
      <c r="H27" s="187"/>
      <c r="I27" s="189"/>
      <c r="K27" s="215"/>
      <c r="L27" t="str">
        <f t="shared" ca="1" si="0"/>
        <v>b</v>
      </c>
      <c r="M27" t="str">
        <f>REPT(" ",3-K27)&amp;IF(K27=0," ","")</f>
        <v xml:space="preserve">    </v>
      </c>
      <c r="O27" s="194"/>
      <c r="P27" s="208">
        <f>IF(ISNUMBER(D27),LOOKUP(D27,$AA$5:$AB$7),D27)</f>
        <v>0</v>
      </c>
      <c r="Q27" s="208">
        <f t="shared" si="2"/>
        <v>0</v>
      </c>
      <c r="R27" s="301" t="str">
        <f t="shared" ca="1" si="1"/>
        <v/>
      </c>
      <c r="S27" s="305">
        <f>H27</f>
        <v>0</v>
      </c>
      <c r="T27" s="145"/>
      <c r="U27" s="216">
        <f ca="1">IF(L27="l","",IF(D27+F27&gt;0,SUM(Y27:Z27),-1))</f>
        <v>-1</v>
      </c>
      <c r="V27" s="373"/>
      <c r="W27" s="107"/>
      <c r="Y27" s="114">
        <f>IF(D27&gt;0,0,TRUNC(F27*T27))</f>
        <v>0</v>
      </c>
      <c r="Z27" t="b">
        <f>IF($D27=1,SUM(Y$13:Y25)-SUM(Z$13:Z25),IF($D27=2,$Z$6,IF($D27=3,TRUNC($Z$6,-3))))</f>
        <v>0</v>
      </c>
      <c r="AA27">
        <f ca="1">IF(OR(AB$8=0,L26="l",D27&gt;0,U27=-1),0,IF(L26="b",-U27,TRUNC(F26*T27)))</f>
        <v>0</v>
      </c>
      <c r="AB27" t="b">
        <f>IF($D27=1,SUM(AA$13:AA25)-SUM(AB$13:AB25),IF($D27=2,$Z$5,IF($D27=3,TRUNC($Z$5,-3))))</f>
        <v>0</v>
      </c>
    </row>
    <row r="28" spans="3:28" ht="15" customHeight="1" x14ac:dyDescent="0.15">
      <c r="C28" s="182"/>
      <c r="D28" s="210"/>
      <c r="E28" s="184"/>
      <c r="F28" s="225"/>
      <c r="G28" s="297" t="str">
        <f ca="1">IF(OR(AB$8=0,L28="b"),"",IF(L28="l",0,"("&amp;FIXED(-F28,K29,0)&amp;M28))</f>
        <v/>
      </c>
      <c r="H28" s="183"/>
      <c r="I28" s="185"/>
      <c r="L28" t="str">
        <f t="shared" ca="1" si="0"/>
        <v>b</v>
      </c>
      <c r="M28" t="str">
        <f>")"&amp;REPT(" ",2-K29)&amp;IF(K29=0," ","")</f>
        <v xml:space="preserve">)   </v>
      </c>
      <c r="O28" s="194"/>
      <c r="P28" s="207">
        <f>D28</f>
        <v>0</v>
      </c>
      <c r="Q28" s="207">
        <f t="shared" si="2"/>
        <v>0</v>
      </c>
      <c r="R28" s="300"/>
      <c r="S28" s="304"/>
      <c r="T28" s="144"/>
      <c r="U28" s="206">
        <f ca="1">IF(OR(AB$8=0,SUM(Y29:AB29)=0),1,IF(L28="l","",SUM(AA29:AB29)))</f>
        <v>1</v>
      </c>
      <c r="V28" s="372"/>
      <c r="W28" s="50"/>
    </row>
    <row r="29" spans="3:28" ht="15" customHeight="1" x14ac:dyDescent="0.15">
      <c r="C29" s="186"/>
      <c r="D29" s="205">
        <v>2</v>
      </c>
      <c r="E29" s="188"/>
      <c r="F29" s="226"/>
      <c r="G29" s="296" t="str">
        <f ca="1">IF(L29="b","",IF(L29="l",0,FIXED(F29,K29,0)&amp;M29))</f>
        <v/>
      </c>
      <c r="H29" s="187"/>
      <c r="I29" s="189"/>
      <c r="K29" s="215"/>
      <c r="L29" t="str">
        <f t="shared" ca="1" si="0"/>
        <v>b</v>
      </c>
      <c r="M29" t="str">
        <f>REPT(" ",3-K29)&amp;IF(K29=0," ","")</f>
        <v xml:space="preserve">    </v>
      </c>
      <c r="O29" s="194"/>
      <c r="P29" s="208" t="str">
        <f>IF(ISNUMBER(D29),LOOKUP(D29,$AA$5:$AB$7),D29)</f>
        <v>合　　　計</v>
      </c>
      <c r="Q29" s="208">
        <f t="shared" si="2"/>
        <v>0</v>
      </c>
      <c r="R29" s="301"/>
      <c r="S29" s="305">
        <f>H29</f>
        <v>0</v>
      </c>
      <c r="T29" s="145"/>
      <c r="U29" s="635">
        <f ca="1">IF(L29="l","",IF(D29+F29&gt;0,SUM(Y29:Z29),-1))</f>
        <v>28170</v>
      </c>
      <c r="V29" s="373"/>
      <c r="W29" s="107"/>
      <c r="Y29" s="114">
        <f>IF(D29&gt;0,0,TRUNC(F29*T29))</f>
        <v>0</v>
      </c>
      <c r="Z29">
        <f ca="1">IF($D29=1,SUM(Y$13:Y27)-SUM(Z$13:Z27),IF($D29=2,$Z$6,IF($D29=3,TRUNC($Z$6,-3))))</f>
        <v>28170</v>
      </c>
      <c r="AA29">
        <f ca="1">IF(OR(AB$8=0,L28="l",D29&gt;0,U29=-1),0,IF(L28="b",-U29,TRUNC(F28*T29)))</f>
        <v>0</v>
      </c>
      <c r="AB29">
        <f ca="1">IF($D29=1,SUM(AA$13:AA27)-SUM(AB$13:AB27),IF($D29=2,$Z$5,IF($D29=3,TRUNC($Z$5,-3))))</f>
        <v>0</v>
      </c>
    </row>
    <row r="30" spans="3:28" ht="15" customHeight="1" x14ac:dyDescent="0.15">
      <c r="C30" s="182"/>
      <c r="D30" s="210"/>
      <c r="E30" s="184"/>
      <c r="F30" s="225"/>
      <c r="G30" s="297" t="str">
        <f ca="1">IF(OR(AB$8=0,L30="b"),"",IF(L30="l",0,"("&amp;FIXED(-F30,K31,0)&amp;M30))</f>
        <v/>
      </c>
      <c r="H30" s="183"/>
      <c r="I30" s="185"/>
      <c r="L30" t="str">
        <f t="shared" ca="1" si="0"/>
        <v>b</v>
      </c>
      <c r="M30" t="str">
        <f>")"&amp;REPT(" ",2-K31)&amp;IF(K31=0," ","")</f>
        <v xml:space="preserve">)   </v>
      </c>
      <c r="O30" s="194"/>
      <c r="P30" s="207">
        <f>D30</f>
        <v>0</v>
      </c>
      <c r="Q30" s="207">
        <f t="shared" si="2"/>
        <v>0</v>
      </c>
      <c r="R30" s="300"/>
      <c r="S30" s="304"/>
      <c r="T30" s="144"/>
      <c r="U30" s="206">
        <f ca="1">IF(OR(AB$8=0,SUM(Y31:AB31)=0),1,IF(L30="l","",SUM(AA31:AB31)))</f>
        <v>1</v>
      </c>
      <c r="V30" s="372"/>
      <c r="W30" s="50"/>
    </row>
    <row r="31" spans="3:28" ht="15" customHeight="1" x14ac:dyDescent="0.15">
      <c r="C31" s="186"/>
      <c r="D31" s="205"/>
      <c r="E31" s="188"/>
      <c r="F31" s="226"/>
      <c r="G31" s="296" t="str">
        <f ca="1">IF(L31="b","",IF(L31="l",0,FIXED(F31,K31,0)&amp;M31))</f>
        <v/>
      </c>
      <c r="H31" s="187"/>
      <c r="I31" s="189"/>
      <c r="K31" s="215"/>
      <c r="L31" t="str">
        <f t="shared" ca="1" si="0"/>
        <v>b</v>
      </c>
      <c r="M31" t="str">
        <f>REPT(" ",3-K31)&amp;IF(K31=0," ","")</f>
        <v xml:space="preserve">    </v>
      </c>
      <c r="O31" s="194"/>
      <c r="P31" s="8" t="s">
        <v>788</v>
      </c>
      <c r="Q31" s="8"/>
      <c r="R31" s="301"/>
      <c r="S31" s="305"/>
      <c r="T31" s="145"/>
      <c r="U31" s="635">
        <f ca="1">ROUNDDOWN(U29,-3)</f>
        <v>28000</v>
      </c>
      <c r="V31" s="373"/>
      <c r="W31" s="107"/>
      <c r="Y31" s="114">
        <f>IF(D31&gt;0,0,TRUNC(F31*T31))</f>
        <v>0</v>
      </c>
      <c r="Z31" t="b">
        <f>IF($D31=1,SUM(Y$13:Y29)-SUM(Z$13:Z29),IF($D31=2,$Z$6,IF($D31=3,TRUNC($Z$6,-3))))</f>
        <v>0</v>
      </c>
      <c r="AA31">
        <f ca="1">IF(OR(AB$8=0,L30="l",D31&gt;0,U31=-1),0,IF(L30="b",-U31,TRUNC(F30*T31)))</f>
        <v>0</v>
      </c>
      <c r="AB31" t="b">
        <f>IF($D31=1,SUM(AA$13:AA29)-SUM(AB$13:AB29),IF($D31=2,$Z$5,IF($D31=3,TRUNC($Z$5,-3))))</f>
        <v>0</v>
      </c>
    </row>
    <row r="32" spans="3:28" ht="15" customHeight="1" x14ac:dyDescent="0.15">
      <c r="C32" s="182"/>
      <c r="D32" s="210"/>
      <c r="E32" s="184"/>
      <c r="F32" s="225"/>
      <c r="G32" s="297" t="str">
        <f ca="1">IF(OR(AB$8=0,L32="b"),"",IF(L32="l",0,"("&amp;FIXED(-F32,K33,0)&amp;M32))</f>
        <v/>
      </c>
      <c r="H32" s="183"/>
      <c r="I32" s="185"/>
      <c r="L32" t="str">
        <f t="shared" ca="1" si="0"/>
        <v>b</v>
      </c>
      <c r="M32" t="str">
        <f>")"&amp;REPT(" ",2-K33)&amp;IF(K33=0," ","")</f>
        <v xml:space="preserve">)   </v>
      </c>
      <c r="O32" s="194"/>
      <c r="P32" s="207"/>
      <c r="Q32" s="207"/>
      <c r="R32" s="300"/>
      <c r="S32" s="304"/>
      <c r="T32" s="144"/>
      <c r="U32" s="206"/>
      <c r="V32" s="372"/>
      <c r="W32" s="50"/>
    </row>
    <row r="33" spans="3:27" ht="15" customHeight="1" x14ac:dyDescent="0.15">
      <c r="C33" s="186"/>
      <c r="D33" s="205"/>
      <c r="E33" s="188"/>
      <c r="F33" s="226"/>
      <c r="G33" s="296" t="str">
        <f ca="1">IF(L33="b","",IF(L33="l",0,FIXED(F33,K33,0)&amp;M33))</f>
        <v/>
      </c>
      <c r="H33" s="187"/>
      <c r="I33" s="189"/>
      <c r="K33" s="215"/>
      <c r="L33" t="str">
        <f t="shared" ca="1" si="0"/>
        <v>b</v>
      </c>
      <c r="M33" t="str">
        <f>REPT(" ",3-K33)&amp;IF(K33=0," ","")</f>
        <v xml:space="preserve">    </v>
      </c>
      <c r="O33" s="194"/>
      <c r="P33" s="208"/>
      <c r="Q33" s="208"/>
      <c r="R33" s="301"/>
      <c r="S33" s="305">
        <f>H33</f>
        <v>0</v>
      </c>
      <c r="T33" s="145"/>
      <c r="U33" s="216"/>
      <c r="V33" s="373"/>
      <c r="W33" s="107"/>
      <c r="Y33" s="114"/>
    </row>
    <row r="34" spans="3:27" ht="15" customHeight="1" x14ac:dyDescent="0.15">
      <c r="C34" s="182"/>
      <c r="D34" s="210"/>
      <c r="E34" s="184"/>
      <c r="F34" s="225"/>
      <c r="G34" s="297" t="str">
        <f ca="1">IF(OR(AB$8=0,L34="b"),"",IF(L34="l",0,"("&amp;FIXED(-F34,K35,0)&amp;M34))</f>
        <v/>
      </c>
      <c r="H34" s="183"/>
      <c r="I34" s="185"/>
      <c r="L34" t="str">
        <f t="shared" ca="1" si="0"/>
        <v>b</v>
      </c>
      <c r="M34" t="str">
        <f>")"&amp;REPT(" ",2-K35)&amp;IF(K35=0," ","")</f>
        <v xml:space="preserve">)   </v>
      </c>
      <c r="O34" s="194"/>
      <c r="P34" s="6"/>
      <c r="Q34" s="6"/>
      <c r="R34" s="300"/>
      <c r="S34" s="304"/>
      <c r="T34" s="144"/>
      <c r="U34" s="12"/>
      <c r="V34" s="372"/>
      <c r="W34" s="50"/>
    </row>
    <row r="35" spans="3:27" ht="15" customHeight="1" x14ac:dyDescent="0.15">
      <c r="C35" s="186"/>
      <c r="D35" s="205"/>
      <c r="E35" s="188"/>
      <c r="F35" s="226"/>
      <c r="G35" s="296" t="str">
        <f ca="1">IF(L35="b","",IF(L35="l",0,FIXED(F35,K35,0)&amp;M35))</f>
        <v/>
      </c>
      <c r="H35" s="187"/>
      <c r="I35" s="189"/>
      <c r="K35" s="215"/>
      <c r="L35" t="str">
        <f t="shared" ca="1" si="0"/>
        <v>b</v>
      </c>
      <c r="M35" t="str">
        <f>REPT(" ",3-K35)&amp;IF(K35=0," ","")</f>
        <v xml:space="preserve">    </v>
      </c>
      <c r="O35" s="194"/>
      <c r="P35" s="8"/>
      <c r="Q35" s="8"/>
      <c r="R35" s="301"/>
      <c r="S35" s="305">
        <f>H35</f>
        <v>0</v>
      </c>
      <c r="T35" s="145"/>
      <c r="U35" s="13"/>
      <c r="V35" s="373"/>
      <c r="W35" s="107"/>
      <c r="Y35" s="114"/>
    </row>
    <row r="36" spans="3:27" ht="15" customHeight="1" x14ac:dyDescent="0.15">
      <c r="C36" s="182"/>
      <c r="D36" s="210"/>
      <c r="E36" s="184"/>
      <c r="F36" s="225"/>
      <c r="G36" s="297" t="str">
        <f ca="1">IF(OR(AB$8=0,L36="b"),"",IF(L36="l",0,"("&amp;FIXED(-F36,K37,0)&amp;M36))</f>
        <v/>
      </c>
      <c r="H36" s="183"/>
      <c r="I36" s="185"/>
      <c r="L36" t="str">
        <f t="shared" ca="1" si="0"/>
        <v>b</v>
      </c>
      <c r="M36" t="str">
        <f>")"&amp;REPT(" ",2-K37)&amp;IF(K37=0," ","")</f>
        <v xml:space="preserve">)   </v>
      </c>
      <c r="O36" s="194"/>
      <c r="P36" s="6"/>
      <c r="Q36" s="6"/>
      <c r="R36" s="300"/>
      <c r="S36" s="304"/>
      <c r="T36" s="144"/>
      <c r="U36" s="12"/>
      <c r="V36" s="372"/>
      <c r="W36" s="50"/>
    </row>
    <row r="37" spans="3:27" ht="15" customHeight="1" x14ac:dyDescent="0.15">
      <c r="C37" s="186"/>
      <c r="D37" s="205"/>
      <c r="E37" s="188"/>
      <c r="F37" s="226"/>
      <c r="G37" s="296" t="str">
        <f ca="1">IF(L37="b","",IF(L37="l",0,FIXED(F37,K37,0)&amp;M37))</f>
        <v/>
      </c>
      <c r="H37" s="187"/>
      <c r="I37" s="189"/>
      <c r="K37" s="215"/>
      <c r="L37" t="str">
        <f t="shared" ca="1" si="0"/>
        <v>b</v>
      </c>
      <c r="M37" t="str">
        <f>REPT(" ",3-K37)&amp;IF(K37=0," ","")</f>
        <v xml:space="preserve">    </v>
      </c>
      <c r="O37" s="194"/>
      <c r="P37" s="8"/>
      <c r="Q37" s="8"/>
      <c r="R37" s="301"/>
      <c r="S37" s="305">
        <f>H37</f>
        <v>0</v>
      </c>
      <c r="T37" s="145"/>
      <c r="U37" s="13"/>
      <c r="V37" s="373"/>
      <c r="W37" s="107"/>
      <c r="Y37" s="114"/>
    </row>
    <row r="38" spans="3:27" ht="15" customHeight="1" x14ac:dyDescent="0.15">
      <c r="C38" s="182"/>
      <c r="D38" s="210"/>
      <c r="E38" s="184"/>
      <c r="F38" s="225"/>
      <c r="G38" s="297" t="str">
        <f ca="1">IF(OR(AB$8=0,L38="b"),"",IF(L38="l",0,"("&amp;FIXED(-F38,K39,0)&amp;M38))</f>
        <v/>
      </c>
      <c r="H38" s="183"/>
      <c r="I38" s="185"/>
      <c r="L38" t="str">
        <f t="shared" ca="1" si="0"/>
        <v>b</v>
      </c>
      <c r="M38" t="str">
        <f>")"&amp;REPT(" ",2-K39)&amp;IF(K39=0," ","")</f>
        <v xml:space="preserve">)   </v>
      </c>
      <c r="O38" s="194"/>
      <c r="P38" s="6"/>
      <c r="Q38" s="6"/>
      <c r="R38" s="300"/>
      <c r="S38" s="304"/>
      <c r="T38" s="144"/>
      <c r="U38" s="12"/>
      <c r="V38" s="372"/>
      <c r="W38" s="50"/>
    </row>
    <row r="39" spans="3:27" ht="15" customHeight="1" x14ac:dyDescent="0.15">
      <c r="C39" s="186"/>
      <c r="D39" s="205"/>
      <c r="E39" s="188"/>
      <c r="F39" s="226"/>
      <c r="G39" s="296" t="str">
        <f ca="1">IF(L39="b","",IF(L39="l",0,FIXED(F39,K39,0)&amp;M39))</f>
        <v/>
      </c>
      <c r="H39" s="187"/>
      <c r="I39" s="189"/>
      <c r="K39" s="215"/>
      <c r="L39" t="str">
        <f t="shared" ca="1" si="0"/>
        <v>b</v>
      </c>
      <c r="M39" t="str">
        <f>REPT(" ",3-K39)&amp;IF(K39=0," ","")</f>
        <v xml:space="preserve">    </v>
      </c>
      <c r="O39" s="194"/>
      <c r="P39" s="8"/>
      <c r="Q39" s="8"/>
      <c r="R39" s="301"/>
      <c r="S39" s="305">
        <f>H39</f>
        <v>0</v>
      </c>
      <c r="T39" s="145"/>
      <c r="U39" s="13"/>
      <c r="V39" s="373"/>
      <c r="W39" s="107"/>
      <c r="Y39" s="114"/>
    </row>
    <row r="40" spans="3:27" ht="15" customHeight="1" x14ac:dyDescent="0.15">
      <c r="C40" s="182"/>
      <c r="D40" s="210"/>
      <c r="E40" s="184"/>
      <c r="F40" s="225"/>
      <c r="G40" s="297" t="str">
        <f ca="1">IF(OR(AB$8=0,L40="b"),"",IF(L40="l",0,"("&amp;FIXED(-F40,K41,0)&amp;M40))</f>
        <v/>
      </c>
      <c r="H40" s="183"/>
      <c r="I40" s="185"/>
      <c r="L40" t="str">
        <f t="shared" ca="1" si="0"/>
        <v>b</v>
      </c>
      <c r="M40" t="str">
        <f>")"&amp;REPT(" ",2-K41)&amp;IF(K41=0," ","")</f>
        <v xml:space="preserve">)   </v>
      </c>
      <c r="O40" s="194"/>
      <c r="P40" s="6"/>
      <c r="Q40" s="6"/>
      <c r="R40" s="300"/>
      <c r="S40" s="304"/>
      <c r="T40" s="144"/>
      <c r="U40" s="12"/>
      <c r="V40" s="372"/>
      <c r="W40" s="50"/>
    </row>
    <row r="41" spans="3:27" ht="15" customHeight="1" x14ac:dyDescent="0.15">
      <c r="C41" s="186"/>
      <c r="D41" s="205"/>
      <c r="E41" s="188"/>
      <c r="F41" s="226"/>
      <c r="G41" s="296" t="str">
        <f ca="1">IF(L41="b","",IF(L41="l",0,FIXED(F41,K41,0)&amp;M41))</f>
        <v/>
      </c>
      <c r="H41" s="187"/>
      <c r="I41" s="189"/>
      <c r="K41" s="215"/>
      <c r="L41" t="str">
        <f t="shared" ca="1" si="0"/>
        <v>b</v>
      </c>
      <c r="M41" t="str">
        <f>REPT(" ",3-K41)&amp;IF(K41=0," ","")</f>
        <v xml:space="preserve">    </v>
      </c>
      <c r="O41" s="194"/>
      <c r="P41" s="8"/>
      <c r="Q41" s="8"/>
      <c r="R41" s="301"/>
      <c r="S41" s="305">
        <f>H41</f>
        <v>0</v>
      </c>
      <c r="T41" s="145"/>
      <c r="U41" s="13"/>
      <c r="V41" s="373"/>
      <c r="W41" s="107"/>
      <c r="Y41" s="114"/>
    </row>
    <row r="42" spans="3:27" ht="15" customHeight="1" x14ac:dyDescent="0.15">
      <c r="C42" s="182"/>
      <c r="D42" s="210"/>
      <c r="E42" s="184"/>
      <c r="F42" s="225"/>
      <c r="G42" s="297" t="str">
        <f ca="1">IF(OR(AB$8=0,L42="b"),"",IF(L42="l",0,"("&amp;FIXED(-F42,K43,0)&amp;M42))</f>
        <v/>
      </c>
      <c r="H42" s="183"/>
      <c r="I42" s="185"/>
      <c r="L42" t="str">
        <f t="shared" ca="1" si="0"/>
        <v>b</v>
      </c>
      <c r="M42" t="str">
        <f>")"&amp;REPT(" ",2-K43)&amp;IF(K43=0," ","")</f>
        <v xml:space="preserve">)   </v>
      </c>
      <c r="O42" s="194"/>
      <c r="P42" s="6"/>
      <c r="Q42" s="6"/>
      <c r="R42" s="300"/>
      <c r="S42" s="304"/>
      <c r="T42" s="144"/>
      <c r="U42" s="206"/>
      <c r="V42" s="372"/>
      <c r="W42" s="50"/>
    </row>
    <row r="43" spans="3:27" ht="15" customHeight="1" x14ac:dyDescent="0.15">
      <c r="C43" s="186"/>
      <c r="D43" s="205"/>
      <c r="E43" s="188"/>
      <c r="F43" s="226"/>
      <c r="G43" s="296" t="str">
        <f ca="1">IF(L43="b","",IF(L43="l",0,FIXED(F43,K43,0)&amp;M43))</f>
        <v/>
      </c>
      <c r="H43" s="187"/>
      <c r="I43" s="189"/>
      <c r="K43" s="215"/>
      <c r="L43" t="str">
        <f t="shared" ca="1" si="0"/>
        <v>b</v>
      </c>
      <c r="M43" t="str">
        <f>REPT(" ",3-K43)&amp;IF(K43=0," ","")</f>
        <v xml:space="preserve">    </v>
      </c>
      <c r="O43" s="194"/>
      <c r="P43" s="617"/>
      <c r="Q43" s="8"/>
      <c r="R43" s="633"/>
      <c r="S43" s="305"/>
      <c r="T43" s="145"/>
      <c r="U43" s="634"/>
      <c r="V43" s="373"/>
      <c r="W43" s="107"/>
      <c r="Y43" s="114"/>
      <c r="AA43" s="114"/>
    </row>
    <row r="44" spans="3:27" ht="15" customHeight="1" x14ac:dyDescent="0.15">
      <c r="C44" s="182"/>
      <c r="D44" s="210"/>
      <c r="E44" s="184"/>
      <c r="F44" s="225"/>
      <c r="G44" s="297" t="str">
        <f ca="1">IF(OR(AB$8=0,L44="b"),"",IF(L44="l",0,"("&amp;FIXED(-F44,K45,0)&amp;M44))</f>
        <v/>
      </c>
      <c r="H44" s="183"/>
      <c r="I44" s="185"/>
      <c r="L44" t="str">
        <f t="shared" ca="1" si="0"/>
        <v>b</v>
      </c>
      <c r="M44" t="str">
        <f>")"&amp;REPT(" ",2-K45)&amp;IF(K45=0," ","")</f>
        <v xml:space="preserve">)   </v>
      </c>
      <c r="O44" s="194"/>
      <c r="P44" s="6"/>
      <c r="Q44" s="6"/>
      <c r="R44" s="300"/>
      <c r="S44" s="304"/>
      <c r="T44" s="144"/>
      <c r="U44" s="12"/>
      <c r="V44" s="372"/>
      <c r="W44" s="50"/>
    </row>
    <row r="45" spans="3:27" ht="15" customHeight="1" x14ac:dyDescent="0.15">
      <c r="C45" s="186"/>
      <c r="D45" s="205"/>
      <c r="E45" s="188"/>
      <c r="F45" s="226"/>
      <c r="G45" s="296" t="str">
        <f ca="1">IF(L45="b","",IF(L45="l",0,FIXED(F45,K45,0)&amp;M45))</f>
        <v/>
      </c>
      <c r="H45" s="187"/>
      <c r="I45" s="189"/>
      <c r="K45" s="215"/>
      <c r="L45" t="str">
        <f t="shared" ca="1" si="0"/>
        <v>b</v>
      </c>
      <c r="M45" t="str">
        <f>REPT(" ",3-K45)&amp;IF(K45=0," ","")</f>
        <v xml:space="preserve">    </v>
      </c>
      <c r="O45" s="194"/>
      <c r="P45" s="8"/>
      <c r="Q45" s="8"/>
      <c r="R45" s="301"/>
      <c r="S45" s="305"/>
      <c r="T45" s="145"/>
      <c r="U45" s="13"/>
      <c r="V45" s="373"/>
      <c r="W45" s="107"/>
      <c r="Y45" s="114"/>
    </row>
    <row r="46" spans="3:27" ht="15" customHeight="1" x14ac:dyDescent="0.15">
      <c r="C46" s="182"/>
      <c r="D46" s="210"/>
      <c r="E46" s="184"/>
      <c r="F46" s="225"/>
      <c r="G46" s="297" t="str">
        <f ca="1">IF(OR(AB$8=0,L46="b"),"",IF(L46="l",0,"("&amp;FIXED(-F46,K47,0)&amp;M46))</f>
        <v/>
      </c>
      <c r="H46" s="183"/>
      <c r="I46" s="185"/>
      <c r="L46" t="str">
        <f t="shared" ca="1" si="0"/>
        <v>b</v>
      </c>
      <c r="M46" t="str">
        <f>")"&amp;REPT(" ",2-K47)&amp;IF(K47=0," ","")</f>
        <v xml:space="preserve">)   </v>
      </c>
      <c r="O46" s="194"/>
      <c r="P46" s="6"/>
      <c r="Q46" s="6"/>
      <c r="R46" s="300"/>
      <c r="S46" s="304"/>
      <c r="T46" s="144"/>
      <c r="U46" s="206"/>
      <c r="V46" s="372"/>
      <c r="W46" s="50"/>
    </row>
    <row r="47" spans="3:27" ht="15" customHeight="1" x14ac:dyDescent="0.15">
      <c r="C47" s="186"/>
      <c r="D47" s="205"/>
      <c r="E47" s="188"/>
      <c r="F47" s="226"/>
      <c r="G47" s="296" t="str">
        <f ca="1">IF(L47="b","",IF(L47="l",0,FIXED(F47,K47,0)&amp;M47))</f>
        <v/>
      </c>
      <c r="H47" s="187"/>
      <c r="I47" s="189"/>
      <c r="K47" s="215"/>
      <c r="L47" t="str">
        <f t="shared" ca="1" si="0"/>
        <v>b</v>
      </c>
      <c r="M47" t="str">
        <f>REPT(" ",3-K47)&amp;IF(K47=0," ","")</f>
        <v xml:space="preserve">    </v>
      </c>
      <c r="O47" s="194"/>
      <c r="P47" s="8"/>
      <c r="Q47" s="8"/>
      <c r="R47" s="301"/>
      <c r="S47" s="305"/>
      <c r="T47" s="145"/>
      <c r="U47" s="635"/>
      <c r="V47" s="373"/>
      <c r="W47" s="107"/>
      <c r="Y47" s="114"/>
    </row>
    <row r="48" spans="3:27" ht="15" customHeight="1" x14ac:dyDescent="0.15">
      <c r="C48" s="182"/>
      <c r="D48" s="210"/>
      <c r="E48" s="184"/>
      <c r="F48" s="225"/>
      <c r="G48" s="297" t="str">
        <f ca="1">IF(OR(AB$8=0,L48="b"),"",IF(L48="l",0,"("&amp;FIXED(-F48,K49,0)&amp;M48))</f>
        <v/>
      </c>
      <c r="H48" s="183"/>
      <c r="I48" s="185"/>
      <c r="L48" t="str">
        <f t="shared" ca="1" si="0"/>
        <v>b</v>
      </c>
      <c r="M48" t="str">
        <f>")"&amp;REPT(" ",2-K49)&amp;IF(K49=0," ","")</f>
        <v xml:space="preserve">)   </v>
      </c>
      <c r="O48" s="194"/>
      <c r="P48" s="6"/>
      <c r="Q48" s="6"/>
      <c r="R48" s="300"/>
      <c r="S48" s="304"/>
      <c r="T48" s="144"/>
      <c r="U48" s="206"/>
      <c r="V48" s="372"/>
      <c r="W48" s="50"/>
    </row>
    <row r="49" spans="3:25" ht="15" customHeight="1" x14ac:dyDescent="0.15">
      <c r="C49" s="186"/>
      <c r="D49" s="205"/>
      <c r="E49" s="188"/>
      <c r="F49" s="226"/>
      <c r="G49" s="296" t="str">
        <f ca="1">IF(L49="b","",IF(L49="l",0,FIXED(F49,K49,0)&amp;M49))</f>
        <v/>
      </c>
      <c r="H49" s="187"/>
      <c r="I49" s="189"/>
      <c r="K49" s="215"/>
      <c r="L49" t="str">
        <f t="shared" ca="1" si="0"/>
        <v>b</v>
      </c>
      <c r="M49" t="str">
        <f>REPT(" ",3-K49)&amp;IF(K49=0," ","")</f>
        <v xml:space="preserve">    </v>
      </c>
      <c r="O49" s="194"/>
      <c r="P49" s="8"/>
      <c r="Q49" s="8"/>
      <c r="R49" s="301"/>
      <c r="S49" s="305"/>
      <c r="T49" s="145"/>
      <c r="U49" s="635"/>
      <c r="V49" s="373"/>
      <c r="W49" s="107"/>
      <c r="Y49" s="114"/>
    </row>
    <row r="50" spans="3:25" ht="15" customHeight="1" x14ac:dyDescent="0.15">
      <c r="C50" s="182"/>
      <c r="D50" s="210"/>
      <c r="E50" s="184"/>
      <c r="F50" s="225"/>
      <c r="G50" s="297" t="str">
        <f ca="1">IF(OR(AB$8=0,L50="b"),"",IF(L50="l",0,"("&amp;FIXED(-F50,K51,0)&amp;M50))</f>
        <v/>
      </c>
      <c r="H50" s="183"/>
      <c r="I50" s="185"/>
      <c r="L50" t="str">
        <f t="shared" ca="1" si="0"/>
        <v>b</v>
      </c>
      <c r="M50" t="str">
        <f>")"&amp;REPT(" ",2-K51)&amp;IF(K51=0," ","")</f>
        <v xml:space="preserve">)   </v>
      </c>
      <c r="O50" s="194"/>
      <c r="P50" s="6"/>
      <c r="Q50" s="6"/>
      <c r="R50" s="300"/>
      <c r="S50" s="304"/>
      <c r="T50" s="144"/>
      <c r="U50" s="12"/>
      <c r="V50" s="372"/>
      <c r="W50" s="50"/>
    </row>
    <row r="51" spans="3:25" ht="15" customHeight="1" x14ac:dyDescent="0.15">
      <c r="C51" s="186"/>
      <c r="D51" s="205"/>
      <c r="E51" s="188"/>
      <c r="F51" s="226"/>
      <c r="G51" s="296" t="str">
        <f ca="1">IF(L51="b","",IF(L51="l",0,FIXED(F51,K51,0)&amp;M51))</f>
        <v/>
      </c>
      <c r="H51" s="187"/>
      <c r="I51" s="189"/>
      <c r="K51" s="215"/>
      <c r="L51" t="str">
        <f t="shared" ca="1" si="0"/>
        <v>b</v>
      </c>
      <c r="M51" t="str">
        <f>REPT(" ",3-K51)&amp;IF(K51=0," ","")</f>
        <v xml:space="preserve">    </v>
      </c>
      <c r="O51" s="194"/>
      <c r="P51" s="8"/>
      <c r="Q51" s="8"/>
      <c r="R51" s="301"/>
      <c r="S51" s="305">
        <f>H51</f>
        <v>0</v>
      </c>
      <c r="T51" s="145"/>
      <c r="U51" s="13"/>
      <c r="V51" s="373"/>
      <c r="W51" s="107"/>
      <c r="Y51" s="114"/>
    </row>
    <row r="52" spans="3:25" ht="15" customHeight="1" x14ac:dyDescent="0.15">
      <c r="C52" s="182"/>
      <c r="D52" s="210"/>
      <c r="E52" s="184"/>
      <c r="F52" s="225"/>
      <c r="G52" s="297" t="str">
        <f ca="1">IF(OR(AB$8=0,L52="b"),"",IF(L52="l",0,"("&amp;FIXED(-F52,K53,0)&amp;M52))</f>
        <v/>
      </c>
      <c r="H52" s="183"/>
      <c r="I52" s="185"/>
      <c r="L52" t="str">
        <f t="shared" ca="1" si="0"/>
        <v>b</v>
      </c>
      <c r="M52" t="str">
        <f>")"&amp;REPT(" ",2-K53)&amp;IF(K53=0," ","")</f>
        <v xml:space="preserve">)   </v>
      </c>
      <c r="O52" s="194"/>
      <c r="P52" s="6"/>
      <c r="Q52" s="6"/>
      <c r="R52" s="300"/>
      <c r="S52" s="304"/>
      <c r="T52" s="144"/>
      <c r="U52" s="12"/>
      <c r="V52" s="372"/>
      <c r="W52" s="50"/>
    </row>
    <row r="53" spans="3:25" ht="15" customHeight="1" x14ac:dyDescent="0.15">
      <c r="C53" s="186"/>
      <c r="D53" s="205"/>
      <c r="E53" s="188"/>
      <c r="F53" s="226"/>
      <c r="G53" s="296" t="str">
        <f ca="1">IF(L53="b","",IF(L53="l",0,FIXED(F53,K53,0)&amp;M53))</f>
        <v/>
      </c>
      <c r="H53" s="187"/>
      <c r="I53" s="189"/>
      <c r="K53" s="215"/>
      <c r="L53" t="str">
        <f t="shared" ca="1" si="0"/>
        <v>b</v>
      </c>
      <c r="M53" t="str">
        <f>REPT(" ",3-K53)&amp;IF(K53=0," ","")</f>
        <v xml:space="preserve">    </v>
      </c>
      <c r="O53" s="194"/>
      <c r="P53" s="8"/>
      <c r="Q53" s="8"/>
      <c r="R53" s="301"/>
      <c r="S53" s="305">
        <f>H53</f>
        <v>0</v>
      </c>
      <c r="T53" s="145"/>
      <c r="U53" s="13"/>
      <c r="V53" s="373"/>
      <c r="W53" s="107"/>
      <c r="Y53" s="114"/>
    </row>
    <row r="54" spans="3:25" ht="15" customHeight="1" x14ac:dyDescent="0.15">
      <c r="C54" s="182"/>
      <c r="D54" s="210"/>
      <c r="E54" s="184"/>
      <c r="F54" s="225"/>
      <c r="G54" s="297" t="str">
        <f ca="1">IF(OR(AB$8=0,L54="b"),"",IF(L54="l",0,"("&amp;FIXED(-F54,K55,0)&amp;M54))</f>
        <v/>
      </c>
      <c r="H54" s="183"/>
      <c r="I54" s="185"/>
      <c r="L54" t="str">
        <f t="shared" ca="1" si="0"/>
        <v>b</v>
      </c>
      <c r="M54" t="str">
        <f>")"&amp;REPT(" ",2-K55)&amp;IF(K55=0," ","")</f>
        <v xml:space="preserve">)   </v>
      </c>
      <c r="O54" s="194"/>
      <c r="P54" s="6"/>
      <c r="Q54" s="6"/>
      <c r="R54" s="300"/>
      <c r="S54" s="304"/>
      <c r="T54" s="144"/>
      <c r="U54" s="12"/>
      <c r="V54" s="372"/>
      <c r="W54" s="50"/>
    </row>
    <row r="55" spans="3:25" ht="15" customHeight="1" x14ac:dyDescent="0.15">
      <c r="C55" s="186"/>
      <c r="D55" s="205"/>
      <c r="E55" s="188"/>
      <c r="F55" s="226"/>
      <c r="G55" s="296" t="str">
        <f ca="1">IF(L55="b","",IF(L55="l",0,FIXED(F55,K55,0)&amp;M55))</f>
        <v/>
      </c>
      <c r="H55" s="187"/>
      <c r="I55" s="189"/>
      <c r="K55" s="215"/>
      <c r="L55" t="str">
        <f t="shared" ca="1" si="0"/>
        <v>b</v>
      </c>
      <c r="M55" t="str">
        <f>REPT(" ",3-K55)&amp;IF(K55=0," ","")</f>
        <v xml:space="preserve">    </v>
      </c>
      <c r="O55" s="194"/>
      <c r="P55" s="8"/>
      <c r="Q55" s="8"/>
      <c r="R55" s="301"/>
      <c r="S55" s="305">
        <f>H55</f>
        <v>0</v>
      </c>
      <c r="T55" s="145"/>
      <c r="U55" s="13"/>
      <c r="V55" s="373"/>
      <c r="W55" s="107"/>
      <c r="Y55" s="114"/>
    </row>
    <row r="56" spans="3:25" ht="15" customHeight="1" x14ac:dyDescent="0.15">
      <c r="C56" s="182"/>
      <c r="D56" s="210"/>
      <c r="E56" s="184"/>
      <c r="F56" s="225"/>
      <c r="G56" s="297" t="str">
        <f ca="1">IF(OR(AB$8=0,L56="b"),"",IF(L56="l",0,"("&amp;FIXED(-F56,K57,0)&amp;M56))</f>
        <v/>
      </c>
      <c r="H56" s="183"/>
      <c r="I56" s="185"/>
      <c r="L56" t="str">
        <f t="shared" ca="1" si="0"/>
        <v>b</v>
      </c>
      <c r="M56" t="str">
        <f>")"&amp;REPT(" ",2-K57)&amp;IF(K57=0," ","")</f>
        <v xml:space="preserve">)   </v>
      </c>
      <c r="O56" s="194"/>
      <c r="P56" s="6"/>
      <c r="Q56" s="6"/>
      <c r="R56" s="300"/>
      <c r="S56" s="304"/>
      <c r="T56" s="144"/>
      <c r="U56" s="12"/>
      <c r="V56" s="372"/>
      <c r="W56" s="50"/>
    </row>
    <row r="57" spans="3:25" ht="15" customHeight="1" x14ac:dyDescent="0.15">
      <c r="C57" s="186"/>
      <c r="D57" s="205"/>
      <c r="E57" s="188"/>
      <c r="F57" s="226"/>
      <c r="G57" s="296" t="str">
        <f ca="1">IF(L57="b","",IF(L57="l",0,FIXED(F57,K57,0)&amp;M57))</f>
        <v/>
      </c>
      <c r="H57" s="187"/>
      <c r="I57" s="189"/>
      <c r="K57" s="215"/>
      <c r="L57" t="str">
        <f t="shared" ca="1" si="0"/>
        <v>b</v>
      </c>
      <c r="M57" t="str">
        <f>REPT(" ",3-K57)&amp;IF(K57=0," ","")</f>
        <v xml:space="preserve">    </v>
      </c>
      <c r="O57" s="194"/>
      <c r="P57" s="8"/>
      <c r="Q57" s="8"/>
      <c r="R57" s="301"/>
      <c r="S57" s="305">
        <f>H57</f>
        <v>0</v>
      </c>
      <c r="T57" s="145"/>
      <c r="U57" s="13"/>
      <c r="V57" s="373"/>
      <c r="W57" s="107"/>
      <c r="Y57" s="114"/>
    </row>
    <row r="58" spans="3:25" ht="15" customHeight="1" x14ac:dyDescent="0.15">
      <c r="C58" s="182"/>
      <c r="D58" s="210"/>
      <c r="E58" s="184"/>
      <c r="F58" s="225"/>
      <c r="G58" s="297" t="str">
        <f ca="1">IF(OR(AB$8=0,L58="b"),"",IF(L58="l",0,"("&amp;FIXED(-F58,K59,0)&amp;M58))</f>
        <v/>
      </c>
      <c r="H58" s="183"/>
      <c r="I58" s="185"/>
      <c r="L58" t="str">
        <f t="shared" ca="1" si="0"/>
        <v>b</v>
      </c>
      <c r="M58" t="str">
        <f>")"&amp;REPT(" ",2-K59)&amp;IF(K59=0," ","")</f>
        <v xml:space="preserve">)   </v>
      </c>
      <c r="O58" s="194"/>
      <c r="P58" s="6"/>
      <c r="Q58" s="6"/>
      <c r="R58" s="300"/>
      <c r="S58" s="304"/>
      <c r="T58" s="144"/>
      <c r="U58" s="12"/>
      <c r="V58" s="372"/>
      <c r="W58" s="50"/>
    </row>
    <row r="59" spans="3:25" ht="15" customHeight="1" x14ac:dyDescent="0.15">
      <c r="C59" s="186"/>
      <c r="D59" s="205"/>
      <c r="E59" s="188"/>
      <c r="F59" s="226"/>
      <c r="G59" s="296" t="str">
        <f ca="1">IF(L59="b","",IF(L59="l",0,FIXED(F59,K59,0)&amp;M59))</f>
        <v/>
      </c>
      <c r="H59" s="187"/>
      <c r="I59" s="189"/>
      <c r="K59" s="215"/>
      <c r="L59" t="str">
        <f t="shared" ca="1" si="0"/>
        <v>b</v>
      </c>
      <c r="M59" t="str">
        <f>REPT(" ",3-K59)&amp;IF(K59=0," ","")</f>
        <v xml:space="preserve">    </v>
      </c>
      <c r="O59" s="194"/>
      <c r="P59" s="8"/>
      <c r="Q59" s="8"/>
      <c r="R59" s="301"/>
      <c r="S59" s="305">
        <f>H59</f>
        <v>0</v>
      </c>
      <c r="T59" s="145"/>
      <c r="U59" s="13"/>
      <c r="V59" s="373"/>
      <c r="W59" s="107"/>
      <c r="Y59" s="114"/>
    </row>
    <row r="60" spans="3:25" ht="15" customHeight="1" x14ac:dyDescent="0.15">
      <c r="C60" s="182"/>
      <c r="D60" s="210"/>
      <c r="E60" s="184"/>
      <c r="F60" s="225"/>
      <c r="G60" s="297" t="str">
        <f ca="1">IF(OR(AB$8=0,L60="b"),"",IF(L60="l",0,"("&amp;FIXED(-F60,K61,0)&amp;M60))</f>
        <v/>
      </c>
      <c r="H60" s="183"/>
      <c r="I60" s="185"/>
      <c r="L60" t="str">
        <f t="shared" ca="1" si="0"/>
        <v>b</v>
      </c>
      <c r="M60" t="str">
        <f>")"&amp;REPT(" ",2-K61)&amp;IF(K61=0," ","")</f>
        <v xml:space="preserve">)   </v>
      </c>
      <c r="O60" s="194"/>
      <c r="P60" s="6"/>
      <c r="Q60" s="6"/>
      <c r="R60" s="300"/>
      <c r="S60" s="304"/>
      <c r="T60" s="144"/>
      <c r="U60" s="12"/>
      <c r="V60" s="372"/>
      <c r="W60" s="50"/>
    </row>
    <row r="61" spans="3:25" ht="15" customHeight="1" x14ac:dyDescent="0.15">
      <c r="C61" s="186"/>
      <c r="D61" s="205"/>
      <c r="E61" s="188"/>
      <c r="F61" s="226"/>
      <c r="G61" s="296" t="str">
        <f ca="1">IF(L61="b","",IF(L61="l",0,FIXED(F61,K61,0)&amp;M61))</f>
        <v/>
      </c>
      <c r="H61" s="187"/>
      <c r="I61" s="189"/>
      <c r="K61" s="215"/>
      <c r="L61" t="str">
        <f t="shared" ca="1" si="0"/>
        <v>b</v>
      </c>
      <c r="M61" t="str">
        <f>REPT(" ",3-K61)&amp;IF(K61=0," ","")</f>
        <v xml:space="preserve">    </v>
      </c>
      <c r="O61" s="194"/>
      <c r="P61" s="8"/>
      <c r="Q61" s="8"/>
      <c r="R61" s="301"/>
      <c r="S61" s="305">
        <f>H61</f>
        <v>0</v>
      </c>
      <c r="T61" s="145"/>
      <c r="U61" s="13"/>
      <c r="V61" s="373"/>
      <c r="W61" s="107"/>
      <c r="Y61" s="114"/>
    </row>
    <row r="62" spans="3:25" ht="15" customHeight="1" x14ac:dyDescent="0.15">
      <c r="C62" s="182"/>
      <c r="D62" s="210"/>
      <c r="E62" s="184"/>
      <c r="F62" s="225"/>
      <c r="G62" s="297" t="str">
        <f ca="1">IF(OR(AB$8=0,L62="b"),"",IF(L62="l",0,"("&amp;FIXED(-F62,K63,0)&amp;M62))</f>
        <v/>
      </c>
      <c r="H62" s="183"/>
      <c r="I62" s="185"/>
      <c r="L62" t="str">
        <f t="shared" ca="1" si="0"/>
        <v>b</v>
      </c>
      <c r="M62" t="str">
        <f>")"&amp;REPT(" ",2-K63)&amp;IF(K63=0," ","")</f>
        <v xml:space="preserve">)   </v>
      </c>
      <c r="O62" s="194"/>
      <c r="P62" s="6"/>
      <c r="Q62" s="6"/>
      <c r="R62" s="300"/>
      <c r="S62" s="304"/>
      <c r="T62" s="144"/>
      <c r="U62" s="12"/>
      <c r="V62" s="372"/>
      <c r="W62" s="50"/>
    </row>
    <row r="63" spans="3:25" ht="15" customHeight="1" x14ac:dyDescent="0.15">
      <c r="C63" s="186"/>
      <c r="D63" s="205"/>
      <c r="E63" s="188"/>
      <c r="F63" s="226"/>
      <c r="G63" s="296" t="str">
        <f ca="1">IF(L63="b","",IF(L63="l",0,FIXED(F63,K63,0)&amp;M63))</f>
        <v/>
      </c>
      <c r="H63" s="187"/>
      <c r="I63" s="189"/>
      <c r="K63" s="215"/>
      <c r="L63" t="str">
        <f t="shared" ca="1" si="0"/>
        <v>b</v>
      </c>
      <c r="M63" t="str">
        <f>REPT(" ",3-K63)&amp;IF(K63=0," ","")</f>
        <v xml:space="preserve">    </v>
      </c>
      <c r="O63" s="194"/>
      <c r="P63" s="8"/>
      <c r="Q63" s="8"/>
      <c r="R63" s="301"/>
      <c r="S63" s="305">
        <f>H63</f>
        <v>0</v>
      </c>
      <c r="T63" s="145"/>
      <c r="U63" s="13"/>
      <c r="V63" s="373"/>
      <c r="W63" s="107"/>
      <c r="Y63" s="114"/>
    </row>
    <row r="64" spans="3:25" ht="15" customHeight="1" x14ac:dyDescent="0.15">
      <c r="C64" s="182"/>
      <c r="D64" s="210"/>
      <c r="E64" s="184"/>
      <c r="F64" s="225"/>
      <c r="G64" s="297" t="str">
        <f ca="1">IF(OR(AB$8=0,L64="b"),"",IF(L64="l",0,"("&amp;FIXED(-F64,K65,0)&amp;M64))</f>
        <v/>
      </c>
      <c r="H64" s="183"/>
      <c r="I64" s="185"/>
      <c r="L64" t="str">
        <f t="shared" ca="1" si="0"/>
        <v>b</v>
      </c>
      <c r="M64" t="str">
        <f>")"&amp;REPT(" ",2-K65)&amp;IF(K65=0," ","")</f>
        <v xml:space="preserve">)   </v>
      </c>
      <c r="O64" s="194"/>
      <c r="P64" s="6"/>
      <c r="Q64" s="6"/>
      <c r="R64" s="300"/>
      <c r="S64" s="304"/>
      <c r="T64" s="144"/>
      <c r="U64" s="12"/>
      <c r="V64" s="372"/>
      <c r="W64" s="50"/>
    </row>
    <row r="65" spans="1:25" ht="15" customHeight="1" x14ac:dyDescent="0.15">
      <c r="C65" s="186"/>
      <c r="D65" s="205"/>
      <c r="E65" s="188"/>
      <c r="F65" s="226"/>
      <c r="G65" s="296" t="str">
        <f ca="1">IF(L65="b","",IF(L65="l",0,FIXED(F65,K65,0)&amp;M65))</f>
        <v/>
      </c>
      <c r="H65" s="187"/>
      <c r="I65" s="189"/>
      <c r="K65" s="215"/>
      <c r="L65" t="str">
        <f t="shared" ca="1" si="0"/>
        <v>b</v>
      </c>
      <c r="M65" t="str">
        <f>REPT(" ",3-K65)&amp;IF(K65=0," ","")</f>
        <v xml:space="preserve">    </v>
      </c>
      <c r="O65" s="194"/>
      <c r="P65" s="8"/>
      <c r="Q65" s="8"/>
      <c r="R65" s="301"/>
      <c r="S65" s="305">
        <f>H65</f>
        <v>0</v>
      </c>
      <c r="T65" s="145"/>
      <c r="U65" s="13"/>
      <c r="V65" s="373"/>
      <c r="W65" s="107"/>
      <c r="Y65" s="114"/>
    </row>
    <row r="66" spans="1:25" ht="15" customHeight="1" x14ac:dyDescent="0.15">
      <c r="C66" s="182"/>
      <c r="D66" s="210"/>
      <c r="E66" s="184"/>
      <c r="F66" s="225"/>
      <c r="G66" s="297" t="str">
        <f ca="1">IF(OR(AB$8=0,L66="b"),"",IF(L66="l",0,"("&amp;FIXED(-F66,K67,0)&amp;M66))</f>
        <v/>
      </c>
      <c r="H66" s="183"/>
      <c r="I66" s="185"/>
      <c r="L66" t="str">
        <f t="shared" ca="1" si="0"/>
        <v>b</v>
      </c>
      <c r="M66" t="str">
        <f>")"&amp;REPT(" ",2-K67)&amp;IF(K67=0," ","")</f>
        <v xml:space="preserve">)   </v>
      </c>
      <c r="O66" s="194"/>
      <c r="P66" s="6"/>
      <c r="Q66" s="6"/>
      <c r="R66" s="300"/>
      <c r="S66" s="304"/>
      <c r="T66" s="144"/>
      <c r="U66" s="12"/>
      <c r="V66" s="372"/>
      <c r="W66" s="50"/>
    </row>
    <row r="67" spans="1:25" ht="15" customHeight="1" x14ac:dyDescent="0.15">
      <c r="C67" s="186"/>
      <c r="D67" s="205"/>
      <c r="E67" s="188"/>
      <c r="F67" s="226"/>
      <c r="G67" s="296" t="str">
        <f ca="1">IF(L67="b","",IF(L67="l",0,FIXED(F67,K67,0)&amp;M67))</f>
        <v/>
      </c>
      <c r="H67" s="187"/>
      <c r="I67" s="189"/>
      <c r="K67" s="215"/>
      <c r="L67" t="str">
        <f t="shared" ca="1" si="0"/>
        <v>b</v>
      </c>
      <c r="M67" t="str">
        <f>REPT(" ",3-K67)&amp;IF(K67=0," ","")</f>
        <v xml:space="preserve">    </v>
      </c>
      <c r="O67" s="194"/>
      <c r="P67" s="8"/>
      <c r="Q67" s="8"/>
      <c r="R67" s="301"/>
      <c r="S67" s="305">
        <f>H67</f>
        <v>0</v>
      </c>
      <c r="T67" s="145"/>
      <c r="U67" s="13"/>
      <c r="V67" s="373"/>
      <c r="W67" s="107"/>
      <c r="Y67" s="114"/>
    </row>
    <row r="68" spans="1:25" ht="15" customHeight="1" x14ac:dyDescent="0.15">
      <c r="C68" s="182"/>
      <c r="D68" s="210"/>
      <c r="E68" s="184"/>
      <c r="F68" s="225"/>
      <c r="G68" s="297" t="str">
        <f ca="1">IF(OR(AB$8=0,L68="b"),"",IF(L68="l",0,"("&amp;FIXED(-F68,K69,0)&amp;M68))</f>
        <v/>
      </c>
      <c r="H68" s="183"/>
      <c r="I68" s="185"/>
      <c r="L68" t="str">
        <f t="shared" ca="1" si="0"/>
        <v>b</v>
      </c>
      <c r="M68" t="str">
        <f>")"&amp;REPT(" ",2-K69)&amp;IF(K69=0," ","")</f>
        <v xml:space="preserve">)   </v>
      </c>
      <c r="O68" s="194"/>
      <c r="P68" s="6"/>
      <c r="Q68" s="6"/>
      <c r="R68" s="300"/>
      <c r="S68" s="304"/>
      <c r="T68" s="144"/>
      <c r="U68" s="12"/>
      <c r="V68" s="372"/>
      <c r="W68" s="50"/>
    </row>
    <row r="69" spans="1:25" ht="15" customHeight="1" x14ac:dyDescent="0.15">
      <c r="C69" s="186"/>
      <c r="D69" s="205">
        <v>2</v>
      </c>
      <c r="E69" s="188"/>
      <c r="F69" s="226"/>
      <c r="G69" s="296" t="str">
        <f ca="1">IF(L69="b","",IF(L69="l",0,FIXED(F69,K69,0)&amp;M69))</f>
        <v/>
      </c>
      <c r="H69" s="187"/>
      <c r="I69" s="189"/>
      <c r="K69" s="215"/>
      <c r="L69" t="str">
        <f t="shared" ca="1" si="0"/>
        <v>b</v>
      </c>
      <c r="M69" t="str">
        <f>REPT(" ",3-K69)&amp;IF(K69=0," ","")</f>
        <v xml:space="preserve">    </v>
      </c>
      <c r="O69" s="194"/>
      <c r="P69" s="8"/>
      <c r="Q69" s="8"/>
      <c r="R69" s="301"/>
      <c r="S69" s="305">
        <f>H69</f>
        <v>0</v>
      </c>
      <c r="T69" s="145"/>
      <c r="U69" s="13"/>
      <c r="V69" s="373"/>
      <c r="W69" s="107"/>
      <c r="Y69" s="114"/>
    </row>
    <row r="70" spans="1:25" ht="15" customHeight="1" x14ac:dyDescent="0.15">
      <c r="C70" s="182"/>
      <c r="D70" s="210"/>
      <c r="E70" s="184"/>
      <c r="F70" s="225"/>
      <c r="G70" s="297" t="str">
        <f ca="1">IF(OR(AB$8=0,L70="b"),"",IF(L70="l",0,"("&amp;FIXED(-F70,K71,0)&amp;M70))</f>
        <v/>
      </c>
      <c r="H70" s="183"/>
      <c r="I70" s="185"/>
      <c r="L70" t="str">
        <f t="shared" ca="1" si="0"/>
        <v>b</v>
      </c>
      <c r="M70" t="str">
        <f>")"&amp;REPT(" ",2-K71)&amp;IF(K71=0," ","")</f>
        <v xml:space="preserve">)   </v>
      </c>
      <c r="O70" s="194"/>
      <c r="P70" s="6"/>
      <c r="Q70" s="6"/>
      <c r="R70" s="300"/>
      <c r="S70" s="304"/>
      <c r="T70" s="144"/>
      <c r="U70" s="12"/>
      <c r="V70" s="372"/>
      <c r="W70" s="50"/>
    </row>
    <row r="71" spans="1:25" ht="15" customHeight="1" x14ac:dyDescent="0.15">
      <c r="C71" s="186"/>
      <c r="D71" s="205">
        <v>3</v>
      </c>
      <c r="E71" s="188"/>
      <c r="F71" s="226"/>
      <c r="G71" s="296" t="str">
        <f ca="1">IF(L71="b","",IF(L71="l",0,FIXED(F71,K71,0)&amp;M71))</f>
        <v/>
      </c>
      <c r="H71" s="187"/>
      <c r="I71" s="189"/>
      <c r="K71" s="215"/>
      <c r="L71" t="str">
        <f t="shared" ca="1" si="0"/>
        <v>b</v>
      </c>
      <c r="M71" t="str">
        <f>REPT(" ",3-K71)&amp;IF(K71=0," ","")</f>
        <v xml:space="preserve">    </v>
      </c>
      <c r="O71" s="194"/>
      <c r="P71" s="8"/>
      <c r="Q71" s="8"/>
      <c r="R71" s="301"/>
      <c r="S71" s="305">
        <f>H71</f>
        <v>0</v>
      </c>
      <c r="T71" s="145"/>
      <c r="U71" s="13"/>
      <c r="V71" s="373"/>
      <c r="W71" s="107"/>
      <c r="Y71" s="114"/>
    </row>
    <row r="72" spans="1:25" ht="15" customHeight="1" x14ac:dyDescent="0.15">
      <c r="C72" s="182"/>
      <c r="D72" s="210"/>
      <c r="E72" s="184"/>
      <c r="F72" s="225"/>
      <c r="G72" s="297" t="str">
        <f ca="1">IF(OR(AB$8=0,L72="b"),"",IF(L72="l",0,"("&amp;FIXED(-F72,K73,0)&amp;M72))</f>
        <v/>
      </c>
      <c r="H72" s="183"/>
      <c r="I72" s="185"/>
      <c r="L72" t="str">
        <f t="shared" ca="1" si="0"/>
        <v>b</v>
      </c>
      <c r="M72" t="str">
        <f>")"&amp;REPT(" ",2-K73)&amp;IF(K73=0," ","")</f>
        <v xml:space="preserve">)   </v>
      </c>
      <c r="O72" s="194"/>
      <c r="P72" s="6"/>
      <c r="Q72" s="6"/>
      <c r="R72" s="300"/>
      <c r="S72" s="304"/>
      <c r="T72" s="144"/>
      <c r="U72" s="12"/>
      <c r="V72" s="372"/>
      <c r="W72" s="50"/>
    </row>
    <row r="73" spans="1:25" ht="15" customHeight="1" thickBot="1" x14ac:dyDescent="0.2">
      <c r="C73" s="190"/>
      <c r="D73" s="211"/>
      <c r="E73" s="192"/>
      <c r="F73" s="228"/>
      <c r="G73" s="298" t="str">
        <f ca="1">IF(L73="b","",IF(L73="l",0,FIXED(F73,K73,0)&amp;M73))</f>
        <v/>
      </c>
      <c r="H73" s="191"/>
      <c r="I73" s="193"/>
      <c r="K73" s="215"/>
      <c r="L73" t="str">
        <f t="shared" ca="1" si="0"/>
        <v>b</v>
      </c>
      <c r="M73" t="str">
        <f>REPT(" ",3-K73)&amp;IF(K73=0," ","")</f>
        <v xml:space="preserve">    </v>
      </c>
      <c r="O73" s="254"/>
      <c r="P73" s="29"/>
      <c r="Q73" s="29"/>
      <c r="R73" s="302"/>
      <c r="S73" s="306">
        <f>H73</f>
        <v>0</v>
      </c>
      <c r="T73" s="146"/>
      <c r="U73" s="31"/>
      <c r="V73" s="374"/>
      <c r="W73" s="55"/>
      <c r="Y73" s="114"/>
    </row>
    <row r="74" spans="1:25" ht="13.5" customHeight="1" x14ac:dyDescent="0.15">
      <c r="A74" s="257"/>
      <c r="B74" s="257"/>
      <c r="C74" s="257"/>
      <c r="D74" s="257"/>
      <c r="E74" s="257"/>
      <c r="F74" s="257"/>
      <c r="G74" s="257"/>
      <c r="H74" s="257"/>
      <c r="I74" s="257"/>
      <c r="J74" s="257"/>
      <c r="K74" s="257"/>
      <c r="L74" s="257"/>
      <c r="M74" s="257"/>
      <c r="N74" s="257"/>
      <c r="O74" s="257"/>
      <c r="P74" s="257"/>
      <c r="Q74" s="257"/>
      <c r="R74" s="257"/>
      <c r="S74" s="257"/>
      <c r="T74" s="257"/>
      <c r="U74" s="257"/>
      <c r="V74" s="257"/>
      <c r="W74" s="257"/>
    </row>
    <row r="75" spans="1:25" ht="13.5" customHeight="1" x14ac:dyDescent="0.15">
      <c r="Y75" s="114"/>
    </row>
    <row r="76" spans="1:25" ht="13.5" customHeight="1" x14ac:dyDescent="0.15"/>
    <row r="77" spans="1:25" ht="13.5" customHeight="1" x14ac:dyDescent="0.15">
      <c r="Y77" s="114"/>
    </row>
    <row r="79" spans="1:25" x14ac:dyDescent="0.15">
      <c r="Y79" s="114"/>
    </row>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sheetData>
  <mergeCells count="2">
    <mergeCell ref="O9:O11"/>
    <mergeCell ref="V9:V11"/>
  </mergeCells>
  <phoneticPr fontId="28"/>
  <conditionalFormatting sqref="O17 O19 O21 O23 O25 O27 O29 O31 O33 O35 O37 O39 O41 O43 O45 O47 O49 O51 O53 O55 O57 O59 O61 O63 O65 O67">
    <cfRule type="expression" dxfId="64" priority="1" stopIfTrue="1">
      <formula>D17=1</formula>
    </cfRule>
  </conditionalFormatting>
  <dataValidations count="1">
    <dataValidation imeMode="off" showInputMessage="1" showErrorMessage="1" promptTitle="警告" prompt="計算式が設定されています_x000a_入力を続けますか?" sqref="G12:G73" xr:uid="{00000000-0002-0000-0800-000000000000}"/>
  </dataValidations>
  <pageMargins left="0.70866141732283472" right="0.19685039370078741" top="0.78740157480314965" bottom="0.39370078740157483" header="0" footer="0.19685039370078741"/>
  <pageSetup paperSize="9" scale="78" firstPageNumber="2" orientation="portrait" blackAndWhite="1" useFirstPageNumber="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31</vt:i4>
      </vt:variant>
    </vt:vector>
  </HeadingPairs>
  <TitlesOfParts>
    <vt:vector size="53" baseType="lpstr">
      <vt:lpstr>鏡</vt:lpstr>
      <vt:lpstr>汚水価格</vt:lpstr>
      <vt:lpstr>工事価格</vt:lpstr>
      <vt:lpstr>電_製作</vt:lpstr>
      <vt:lpstr>経費(電)Ｒ１</vt:lpstr>
      <vt:lpstr>経費(電)</vt:lpstr>
      <vt:lpstr>運搬</vt:lpstr>
      <vt:lpstr>直工 (矢田)</vt:lpstr>
      <vt:lpstr>電_技術者間接費 (矢田)</vt:lpstr>
      <vt:lpstr>電_スクラップ費 (矢田)</vt:lpstr>
      <vt:lpstr>直工 (外城田)</vt:lpstr>
      <vt:lpstr>電_技術者間接費 (外城田)</vt:lpstr>
      <vt:lpstr>電_スクラップ費 (外城田)</vt:lpstr>
      <vt:lpstr>電_引込</vt:lpstr>
      <vt:lpstr>電_動力・計装</vt:lpstr>
      <vt:lpstr>電_電話</vt:lpstr>
      <vt:lpstr>電_屋外</vt:lpstr>
      <vt:lpstr>電_電灯</vt:lpstr>
      <vt:lpstr>電_避雷</vt:lpstr>
      <vt:lpstr>電_土木</vt:lpstr>
      <vt:lpstr>電_建築</vt:lpstr>
      <vt:lpstr>明細表</vt:lpstr>
      <vt:lpstr>運搬!Print_Area</vt:lpstr>
      <vt:lpstr>汚水価格!Print_Area</vt:lpstr>
      <vt:lpstr>鏡!Print_Area</vt:lpstr>
      <vt:lpstr>'経費(電)'!Print_Area</vt:lpstr>
      <vt:lpstr>'経費(電)Ｒ１'!Print_Area</vt:lpstr>
      <vt:lpstr>工事価格!Print_Area</vt:lpstr>
      <vt:lpstr>'直工 (外城田)'!Print_Area</vt:lpstr>
      <vt:lpstr>'直工 (矢田)'!Print_Area</vt:lpstr>
      <vt:lpstr>'電_スクラップ費 (外城田)'!Print_Area</vt:lpstr>
      <vt:lpstr>'電_スクラップ費 (矢田)'!Print_Area</vt:lpstr>
      <vt:lpstr>電_引込!Print_Area</vt:lpstr>
      <vt:lpstr>電_屋外!Print_Area</vt:lpstr>
      <vt:lpstr>'電_技術者間接費 (外城田)'!Print_Area</vt:lpstr>
      <vt:lpstr>'電_技術者間接費 (矢田)'!Print_Area</vt:lpstr>
      <vt:lpstr>電_建築!Print_Area</vt:lpstr>
      <vt:lpstr>電_製作!Print_Area</vt:lpstr>
      <vt:lpstr>電_電灯!Print_Area</vt:lpstr>
      <vt:lpstr>電_電話!Print_Area</vt:lpstr>
      <vt:lpstr>電_土木!Print_Area</vt:lpstr>
      <vt:lpstr>電_動力・計装!Print_Area</vt:lpstr>
      <vt:lpstr>電_避雷!Print_Area</vt:lpstr>
      <vt:lpstr>'経費(電)Ｒ１'!一般費率</vt:lpstr>
      <vt:lpstr>一般費率</vt:lpstr>
      <vt:lpstr>'経費(電)Ｒ１'!機電費率</vt:lpstr>
      <vt:lpstr>機電費率</vt:lpstr>
      <vt:lpstr>'経費(電)Ｒ１'!共通補正</vt:lpstr>
      <vt:lpstr>共通補正</vt:lpstr>
      <vt:lpstr>'経費(電)Ｒ１'!現場補正</vt:lpstr>
      <vt:lpstr>現場補正</vt:lpstr>
      <vt:lpstr>'経費(電)Ｒ１'!土木費率</vt:lpstr>
      <vt:lpstr>土木費率</vt:lpstr>
    </vt:vector>
  </TitlesOfParts>
  <Company>三重県土地改良事業団体連合会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業　務　２　部</dc:creator>
  <cp:lastModifiedBy>I-40167</cp:lastModifiedBy>
  <cp:lastPrinted>2020-08-11T09:45:35Z</cp:lastPrinted>
  <dcterms:created xsi:type="dcterms:W3CDTF">1998-12-07T06:52:32Z</dcterms:created>
  <dcterms:modified xsi:type="dcterms:W3CDTF">2020-08-13T08:29:16Z</dcterms:modified>
</cp:coreProperties>
</file>